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20730" windowHeight="5850" tabRatio="592" activeTab="4"/>
  </bookViews>
  <sheets>
    <sheet name="編成" sheetId="1" r:id="rId1"/>
    <sheet name="記入" sheetId="2" r:id="rId2"/>
    <sheet name="結果" sheetId="3" r:id="rId3"/>
    <sheet name="ソート" sheetId="4" r:id="rId4"/>
    <sheet name="簡略版" sheetId="5" r:id="rId5"/>
    <sheet name="星取表" sheetId="6" r:id="rId6"/>
    <sheet name="累積警告" sheetId="7" r:id="rId7"/>
  </sheets>
  <definedNames>
    <definedName name="_xlnm.Print_Area" localSheetId="3">'ソート'!$A$3:$AV$64</definedName>
    <definedName name="_xlnm.Print_Area" localSheetId="4">'簡略版'!$A$1:$X$14</definedName>
    <definedName name="_xlnm.Print_Area" localSheetId="1">'記入'!$B$5:$Q$36</definedName>
    <definedName name="_xlnm.Print_Area" localSheetId="2">'結果'!$B$4:$AW$65</definedName>
    <definedName name="_xlnm.Print_Area" localSheetId="5">'星取表'!$A$1:$J$51</definedName>
    <definedName name="_xlnm.Print_Area" localSheetId="6">'累積警告'!$A$1:$H$38</definedName>
  </definedNames>
  <calcPr fullCalcOnLoad="1"/>
</workbook>
</file>

<file path=xl/sharedStrings.xml><?xml version="1.0" encoding="utf-8"?>
<sst xmlns="http://schemas.openxmlformats.org/spreadsheetml/2006/main" count="722" uniqueCount="211">
  <si>
    <t>得点</t>
  </si>
  <si>
    <t>失点</t>
  </si>
  <si>
    <t>順位</t>
  </si>
  <si>
    <t>-</t>
  </si>
  <si>
    <t>※年度→</t>
  </si>
  <si>
    <t>勝点</t>
  </si>
  <si>
    <t>得失差</t>
  </si>
  <si>
    <t>　順位決定方法は、通常通り（①勝点、②得失点差、③得点、④当該チームの対戦成績）によります</t>
  </si>
  <si>
    <t>■リーグ報告　星取表</t>
  </si>
  <si>
    <t>地域/都道府県名</t>
  </si>
  <si>
    <t>リーグ名</t>
  </si>
  <si>
    <t>チーム名</t>
  </si>
  <si>
    <t>特記事項</t>
  </si>
  <si>
    <t>カテゴリー</t>
  </si>
  <si>
    <t xml:space="preserve">【協会提出用シート】 </t>
  </si>
  <si>
    <t>※このシートへの入力は禁止です。</t>
  </si>
  <si>
    <t>（簡略版）</t>
  </si>
  <si>
    <t xml:space="preserve"> Ｕ-15　・　Ｕ-18</t>
  </si>
  <si>
    <t>※このシートへの</t>
  </si>
  <si>
    <t>　入力は禁止です。</t>
  </si>
  <si>
    <t>松任運動公園Ｇ</t>
  </si>
  <si>
    <t>金沢市民ｻｯｶｰ場</t>
  </si>
  <si>
    <t>設定順</t>
  </si>
  <si>
    <t>土</t>
  </si>
  <si>
    <t>日</t>
  </si>
  <si>
    <t>第４節</t>
  </si>
  <si>
    <t>第５節</t>
  </si>
  <si>
    <t>第６節</t>
  </si>
  <si>
    <t>第７節</t>
  </si>
  <si>
    <t>予備節</t>
  </si>
  <si>
    <t>月</t>
  </si>
  <si>
    <t>第８節</t>
  </si>
  <si>
    <t>第９節</t>
  </si>
  <si>
    <t>日付</t>
  </si>
  <si>
    <t>曜日</t>
  </si>
  <si>
    <t>使用会場</t>
  </si>
  <si>
    <t>金沢市営球技場</t>
  </si>
  <si>
    <t>県サッカー場</t>
  </si>
  <si>
    <t>【日程記入シート】</t>
  </si>
  <si>
    <t>設定値</t>
  </si>
  <si>
    <t>　２回戦総当りのリーグ戦を実施した。</t>
  </si>
  <si>
    <t xml:space="preserve">石 川 県    </t>
  </si>
  <si>
    <t>※全試合終了時に</t>
  </si>
  <si>
    <t>　表が完成します</t>
  </si>
  <si>
    <t>二日市Ｇ</t>
  </si>
  <si>
    <t>仮順位</t>
  </si>
  <si>
    <t>安原</t>
  </si>
  <si>
    <t>能登島Ｇ</t>
  </si>
  <si>
    <t>安原ｽﾎﾟｰﾂ広場</t>
  </si>
  <si>
    <t>小松市民ｾﾝﾀｰＧ</t>
  </si>
  <si>
    <t>手取公園Ｇ</t>
  </si>
  <si>
    <t>木場潟中央公園</t>
  </si>
  <si>
    <t>ｽｶｲﾊﾟｰｸ翼</t>
  </si>
  <si>
    <t>和倉温泉Ｇ</t>
  </si>
  <si>
    <t>田鶴浜Ｇ</t>
  </si>
  <si>
    <t>宇ノ気陸上</t>
  </si>
  <si>
    <t>志賀町陸上</t>
  </si>
  <si>
    <t>加賀市陸上</t>
  </si>
  <si>
    <t>北陸大FP</t>
  </si>
  <si>
    <t>金沢市営</t>
  </si>
  <si>
    <t>金沢市民</t>
  </si>
  <si>
    <t>チーム</t>
  </si>
  <si>
    <t>背番号</t>
  </si>
  <si>
    <t>警告</t>
  </si>
  <si>
    <t>退場</t>
  </si>
  <si>
    <t>名前</t>
  </si>
  <si>
    <t>備考</t>
  </si>
  <si>
    <t>(全角７字以下)</t>
  </si>
  <si>
    <t>会場略称</t>
  </si>
  <si>
    <t>(全角５字以下)</t>
  </si>
  <si>
    <t>根上</t>
  </si>
  <si>
    <t>松任公園Ｇ</t>
  </si>
  <si>
    <t>小松市民</t>
  </si>
  <si>
    <t>木場潟</t>
  </si>
  <si>
    <t>小松翼</t>
  </si>
  <si>
    <t>加賀陸上</t>
  </si>
  <si>
    <t>和倉Ｇ</t>
  </si>
  <si>
    <t>志賀陸上</t>
  </si>
  <si>
    <t>設定</t>
  </si>
  <si>
    <t>表示</t>
  </si>
  <si>
    <t>節</t>
  </si>
  <si>
    <t>使用名称→</t>
  </si>
  <si>
    <t>チーム番号→</t>
  </si>
  <si>
    <t>〔手順１〕　〈リーグ名〉を</t>
  </si>
  <si>
    <t>こまつドームG</t>
  </si>
  <si>
    <t>ドーム</t>
  </si>
  <si>
    <t>【会場一覧表】</t>
  </si>
  <si>
    <t>【対戦一覧表】</t>
  </si>
  <si>
    <t>期日</t>
  </si>
  <si>
    <t>曜</t>
  </si>
  <si>
    <t>開始</t>
  </si>
  <si>
    <t>チームＡ</t>
  </si>
  <si>
    <t>チームＢ</t>
  </si>
  <si>
    <t>審判</t>
  </si>
  <si>
    <t>能登島Ｇ-Ｂ</t>
  </si>
  <si>
    <t>能登島Ｇ-Ａ</t>
  </si>
  <si>
    <t>マッチ№</t>
  </si>
  <si>
    <t>開催日</t>
  </si>
  <si>
    <t>（例）</t>
  </si>
  <si>
    <t>マッチ№：左チーム、右チーム、巡目の順に３桁の番号とします。（常に左チーム＜右チームとします）</t>
  </si>
  <si>
    <t>開始時間</t>
  </si>
  <si>
    <t>左チーム</t>
  </si>
  <si>
    <t>右チーム</t>
  </si>
  <si>
    <t>【開催日一覧表】</t>
  </si>
  <si>
    <t>〔手順２〕　使用会場名と会場略称の未入力分を【会場一覧表】に入力</t>
  </si>
  <si>
    <t>　　開催日以外に試合を行う場合には、【開催日一覧表】の下方に追加記入する</t>
  </si>
  <si>
    <t>並び換え順</t>
  </si>
  <si>
    <t>地区Ａ</t>
  </si>
  <si>
    <t>地区Ｂ</t>
  </si>
  <si>
    <t>地区Ｃ</t>
  </si>
  <si>
    <t>地区Ｄ</t>
  </si>
  <si>
    <t>地区Ｅ</t>
  </si>
  <si>
    <t>地区Ｆ</t>
  </si>
  <si>
    <t>地区Ｇ</t>
  </si>
  <si>
    <t>地区Ｈ</t>
  </si>
  <si>
    <t>　に選択入力し、使用するチーム名称を入力</t>
  </si>
  <si>
    <t>和倉温泉Ｇ-Ａ</t>
  </si>
  <si>
    <t>和倉温泉Ｇ-Ｂ</t>
  </si>
  <si>
    <t>和倉温泉Ｇ-Ｃ</t>
  </si>
  <si>
    <t>和倉Ａ</t>
  </si>
  <si>
    <t>和倉Ｂ</t>
  </si>
  <si>
    <t>和倉Ｃ</t>
  </si>
  <si>
    <t>能登島Ａ</t>
  </si>
  <si>
    <t>能登島Ｂ</t>
  </si>
  <si>
    <t>〔手順３〕　【対戦一覧表】にマッチ№を記入し、日付をリストから選択入力し、対戦を確認</t>
  </si>
  <si>
    <t>記入</t>
  </si>
  <si>
    <t>リスト選択</t>
  </si>
  <si>
    <t>確認</t>
  </si>
  <si>
    <t>審判割り用略称→</t>
  </si>
  <si>
    <t>確　認</t>
  </si>
  <si>
    <t>※チーム数→</t>
  </si>
  <si>
    <t>選択</t>
  </si>
  <si>
    <t>火</t>
  </si>
  <si>
    <t>④</t>
  </si>
  <si>
    <t>日</t>
  </si>
  <si>
    <t>⑤</t>
  </si>
  <si>
    <t>⑥</t>
  </si>
  <si>
    <t>⑦</t>
  </si>
  <si>
    <t>⑧</t>
  </si>
  <si>
    <t>⑨</t>
  </si>
  <si>
    <t>予
備
節</t>
  </si>
  <si>
    <t>日</t>
  </si>
  <si>
    <t>第
10
節</t>
  </si>
  <si>
    <t>⑩</t>
  </si>
  <si>
    <t>第
11
節</t>
  </si>
  <si>
    <t>⑪</t>
  </si>
  <si>
    <t>第
12
節</t>
  </si>
  <si>
    <t>⑫</t>
  </si>
  <si>
    <t>第
13
節</t>
  </si>
  <si>
    <t>⑬</t>
  </si>
  <si>
    <t>１巡目（節・日・会場）</t>
  </si>
  <si>
    <t>２巡目（節・日・会場）</t>
  </si>
  <si>
    <t>【対戦確認用リーグ表】</t>
  </si>
  <si>
    <t>〔手順４〕　【対戦確認リーグ表】で対戦を確認・・・・〔表示〕未設定：空欄ｏｒ０、重複設定：ＮＧ</t>
  </si>
  <si>
    <t>〔表示〕未設定：空欄ｏｒ０、重複設定：ＮＧ</t>
  </si>
  <si>
    <t>　　会場、開始時間、審判割りを決めたら、順次【対戦一覧表】に追加記入する</t>
  </si>
  <si>
    <t>マッチ№</t>
  </si>
  <si>
    <t>（</t>
  </si>
  <si>
    <t>）</t>
  </si>
  <si>
    <t>-</t>
  </si>
  <si>
    <t>スコア（前半スコア）</t>
  </si>
  <si>
    <t>≪</t>
  </si>
  <si>
    <t>≫</t>
  </si>
  <si>
    <t>会　場</t>
  </si>
  <si>
    <t>（</t>
  </si>
  <si>
    <t>）</t>
  </si>
  <si>
    <t xml:space="preserve">【運営委員会提出用シート】 </t>
  </si>
  <si>
    <t xml:space="preserve">【リーグ表】 </t>
  </si>
  <si>
    <t>≪警告・退場記録≫</t>
  </si>
  <si>
    <t>※編成シートの【対戦一覧表】が日付、会場、開始時間の順に並び換えられて表示されます。</t>
  </si>
  <si>
    <t xml:space="preserve">【簡略版結果シート】 </t>
  </si>
  <si>
    <t>　　【スコア記入シート】</t>
  </si>
  <si>
    <t>色付きセルで、（　－　）の内側に前半スコアを、外側に合計スコアを記入して下さい</t>
  </si>
  <si>
    <t>チーム番号１とチーム番号３の２巡目の対戦は、”１３２”</t>
  </si>
  <si>
    <t>トップ</t>
  </si>
  <si>
    <t>140508並換順の係数を修正</t>
  </si>
  <si>
    <t>（</t>
  </si>
  <si>
    <t>-</t>
  </si>
  <si>
    <t>）</t>
  </si>
  <si>
    <t>Ａ</t>
  </si>
  <si>
    <t>Ｂ</t>
  </si>
  <si>
    <t>Ｃ</t>
  </si>
  <si>
    <t>Ｄ</t>
  </si>
  <si>
    <t>セカンドＡ</t>
  </si>
  <si>
    <t>セカンドＢ</t>
  </si>
  <si>
    <t>５チーム←</t>
  </si>
  <si>
    <t>６チーム←</t>
  </si>
  <si>
    <r>
      <t>※</t>
    </r>
    <r>
      <rPr>
        <sz val="11"/>
        <rFont val="ＭＳ Ｐゴシック"/>
        <family val="3"/>
      </rPr>
      <t>累積は警告２枚で1試合出場停止</t>
    </r>
  </si>
  <si>
    <t>松任中学校</t>
  </si>
  <si>
    <t>松任中</t>
  </si>
  <si>
    <t>ＦＣ小松</t>
  </si>
  <si>
    <t>河北台ＳＣ</t>
  </si>
  <si>
    <t>河北台</t>
  </si>
  <si>
    <t>FC.SOUTHERN</t>
  </si>
  <si>
    <t>サザン</t>
  </si>
  <si>
    <t>ＦＣ．ＴＯＮ</t>
  </si>
  <si>
    <t>ＴＯＮ</t>
  </si>
  <si>
    <t>北星中Ｇ</t>
  </si>
  <si>
    <t>北星中Ｇ</t>
  </si>
  <si>
    <t>野田中Ｇ</t>
  </si>
  <si>
    <t>附属中Ｇ</t>
  </si>
  <si>
    <t>金大附属中Ｇ</t>
  </si>
  <si>
    <t>松任中Ｇ</t>
  </si>
  <si>
    <t>高岡中Ｇ</t>
  </si>
  <si>
    <t>北部公園Ｇ</t>
  </si>
  <si>
    <t>根上中学校</t>
  </si>
  <si>
    <t>根上中</t>
  </si>
  <si>
    <t>ドーム</t>
  </si>
  <si>
    <t>河北台ＳＣ</t>
  </si>
  <si>
    <t>距</t>
  </si>
  <si>
    <t>苗代信輝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</si>
</sst>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#,##0_);[Red]\(#,##0\)"/>
    <numFmt numFmtId="182" formatCode="#,##0_ ;[Red]\-#,##0\ "/>
    <numFmt numFmtId="183" formatCode="0_ "/>
    <numFmt numFmtId="184" formatCode="0.0"/>
    <numFmt numFmtId="185" formatCode="0_);[Red]\(0\)"/>
    <numFmt numFmtId="186" formatCode="[&lt;=999]000;[&lt;=99999]000\-00;000\-0000"/>
    <numFmt numFmtId="187" formatCode="0_ ;[Red]\-0\ "/>
    <numFmt numFmtId="188" formatCode="mmm\-yyyy"/>
    <numFmt numFmtId="189" formatCode="0;[Red]0"/>
    <numFmt numFmtId="190" formatCode="#,##0.0;[Red]\-#,##0.0"/>
    <numFmt numFmtId="191" formatCode="0.000"/>
    <numFmt numFmtId="192" formatCode="0.0000"/>
    <numFmt numFmtId="193" formatCode="&quot;¥&quot;#,##0.0;[Red]&quot;¥&quot;\-#,##0.0"/>
    <numFmt numFmtId="194" formatCode="0.00000"/>
    <numFmt numFmtId="195" formatCode="m/d;@"/>
    <numFmt numFmtId="196" formatCode="yyyy/m/d;@"/>
    <numFmt numFmtId="197" formatCode="aaa"/>
    <numFmt numFmtId="198" formatCode="h:mm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2"/>
      <color indexed="34"/>
      <name val="HG丸ｺﾞｼｯｸM-PRO"/>
      <family val="3"/>
    </font>
    <font>
      <b/>
      <sz val="16"/>
      <name val="HG丸ｺﾞｼｯｸM-PRO"/>
      <family val="3"/>
    </font>
    <font>
      <sz val="6"/>
      <name val="HG丸ｺﾞｼｯｸM-PRO"/>
      <family val="3"/>
    </font>
    <font>
      <b/>
      <sz val="11"/>
      <color indexed="16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HG丸ｺﾞｼｯｸM-PRO"/>
      <family val="3"/>
    </font>
    <font>
      <b/>
      <sz val="14"/>
      <name val="HG丸ｺﾞｼｯｸM-PRO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HG丸ｺﾞｼｯｸM-PRO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color indexed="34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3"/>
    </font>
    <font>
      <b/>
      <sz val="6"/>
      <color indexed="10"/>
      <name val="HG丸ｺﾞｼｯｸM-PRO"/>
      <family val="3"/>
    </font>
    <font>
      <sz val="11"/>
      <color indexed="10"/>
      <name val="ＭＳ Ｐゴシック"/>
      <family val="3"/>
    </font>
    <font>
      <b/>
      <sz val="11"/>
      <color indexed="34"/>
      <name val="HG丸ｺﾞｼｯｸM-PRO"/>
      <family val="3"/>
    </font>
    <font>
      <sz val="9"/>
      <name val="ＭＳ Ｐゴシック"/>
      <family val="3"/>
    </font>
    <font>
      <b/>
      <sz val="11"/>
      <name val="ＭＳ 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Dashed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Dashed"/>
      <bottom style="hair"/>
    </border>
    <border>
      <left style="hair"/>
      <right style="thin"/>
      <top style="mediumDashed"/>
      <bottom style="hair"/>
    </border>
    <border>
      <left>
        <color indexed="63"/>
      </left>
      <right style="hair"/>
      <top style="hair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 style="thin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DashDotDot"/>
    </border>
    <border>
      <left style="hair"/>
      <right style="hair"/>
      <top style="hair"/>
      <bottom style="mediumDashDotDot"/>
    </border>
    <border>
      <left style="hair"/>
      <right>
        <color indexed="63"/>
      </right>
      <top style="hair"/>
      <bottom style="mediumDashDotDot"/>
    </border>
    <border>
      <left>
        <color indexed="63"/>
      </left>
      <right>
        <color indexed="63"/>
      </right>
      <top style="hair"/>
      <bottom style="mediumDashDotDot"/>
    </border>
    <border>
      <left>
        <color indexed="63"/>
      </left>
      <right style="hair"/>
      <top style="hair"/>
      <bottom style="mediumDashDotDot"/>
    </border>
    <border>
      <left style="hair"/>
      <right style="thin"/>
      <top style="hair"/>
      <bottom style="mediumDashDotDot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mediumDashDotDot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mediumDashDotDot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double">
        <color indexed="10"/>
      </left>
      <right>
        <color indexed="63"/>
      </right>
      <top style="hair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hair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59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5" fillId="0" borderId="14" xfId="0" applyFont="1" applyFill="1" applyBorder="1" applyAlignment="1" applyProtection="1">
      <alignment horizontal="center" vertical="center" shrinkToFit="1"/>
      <protection/>
    </xf>
    <xf numFmtId="0" fontId="15" fillId="0" borderId="15" xfId="0" applyFont="1" applyFill="1" applyBorder="1" applyAlignment="1" applyProtection="1">
      <alignment horizontal="center" vertical="center" shrinkToFit="1"/>
      <protection/>
    </xf>
    <xf numFmtId="0" fontId="16" fillId="0" borderId="22" xfId="0" applyFont="1" applyBorder="1" applyAlignment="1" applyProtection="1">
      <alignment horizontal="center" vertical="center" shrinkToFit="1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18" xfId="0" applyFont="1" applyBorder="1" applyAlignment="1" applyProtection="1">
      <alignment horizontal="center" vertical="center" shrinkToFit="1"/>
      <protection/>
    </xf>
    <xf numFmtId="0" fontId="15" fillId="0" borderId="19" xfId="0" applyFont="1" applyBorder="1" applyAlignment="1" applyProtection="1">
      <alignment horizontal="center" vertical="center" shrinkToFit="1"/>
      <protection/>
    </xf>
    <xf numFmtId="0" fontId="15" fillId="0" borderId="20" xfId="0" applyFont="1" applyBorder="1" applyAlignment="1" applyProtection="1">
      <alignment horizontal="center" vertical="center" shrinkToFit="1"/>
      <protection/>
    </xf>
    <xf numFmtId="0" fontId="0" fillId="0" borderId="12" xfId="62" applyFill="1" applyBorder="1">
      <alignment vertical="center"/>
      <protection/>
    </xf>
    <xf numFmtId="0" fontId="0" fillId="0" borderId="16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0" fillId="0" borderId="0" xfId="62" applyFill="1">
      <alignment vertical="center"/>
      <protection/>
    </xf>
    <xf numFmtId="0" fontId="0" fillId="0" borderId="10" xfId="62" applyFill="1" applyBorder="1">
      <alignment vertical="center"/>
      <protection/>
    </xf>
    <xf numFmtId="0" fontId="0" fillId="0" borderId="0" xfId="62" applyFill="1" applyBorder="1">
      <alignment vertical="center"/>
      <protection/>
    </xf>
    <xf numFmtId="0" fontId="0" fillId="0" borderId="11" xfId="62" applyFill="1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1" xfId="63" applyBorder="1">
      <alignment vertical="center"/>
      <protection/>
    </xf>
    <xf numFmtId="0" fontId="0" fillId="0" borderId="0" xfId="63">
      <alignment vertical="center"/>
      <protection/>
    </xf>
    <xf numFmtId="0" fontId="0" fillId="0" borderId="23" xfId="62" applyFill="1" applyBorder="1" applyAlignment="1">
      <alignment vertical="center"/>
      <protection/>
    </xf>
    <xf numFmtId="0" fontId="0" fillId="0" borderId="0" xfId="63" applyBorder="1" applyAlignment="1">
      <alignment horizontal="center" vertical="center" wrapText="1"/>
      <protection/>
    </xf>
    <xf numFmtId="20" fontId="0" fillId="0" borderId="0" xfId="63" applyNumberFormat="1" applyBorder="1" applyAlignment="1">
      <alignment horizontal="center" vertical="center" wrapText="1"/>
      <protection/>
    </xf>
    <xf numFmtId="20" fontId="0" fillId="0" borderId="0" xfId="63" applyNumberFormat="1" applyFill="1" applyBorder="1" applyAlignment="1">
      <alignment horizontal="center" vertical="center" wrapText="1"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17" fillId="0" borderId="0" xfId="63" applyFont="1" applyFill="1" applyBorder="1" applyAlignment="1">
      <alignment horizontal="center" vertical="center"/>
      <protection/>
    </xf>
    <xf numFmtId="0" fontId="0" fillId="0" borderId="0" xfId="62" applyFont="1" applyFill="1" applyBorder="1">
      <alignment vertical="center"/>
      <protection/>
    </xf>
    <xf numFmtId="0" fontId="0" fillId="0" borderId="14" xfId="62" applyFill="1" applyBorder="1">
      <alignment vertical="center"/>
      <protection/>
    </xf>
    <xf numFmtId="0" fontId="0" fillId="0" borderId="24" xfId="62" applyFill="1" applyBorder="1">
      <alignment vertical="center"/>
      <protection/>
    </xf>
    <xf numFmtId="0" fontId="0" fillId="0" borderId="15" xfId="63" applyBorder="1">
      <alignment vertical="center"/>
      <protection/>
    </xf>
    <xf numFmtId="0" fontId="15" fillId="32" borderId="12" xfId="62" applyFont="1" applyFill="1" applyBorder="1" applyAlignment="1">
      <alignment horizontal="center" vertical="center" shrinkToFit="1"/>
      <protection/>
    </xf>
    <xf numFmtId="0" fontId="15" fillId="32" borderId="10" xfId="62" applyFont="1" applyFill="1" applyBorder="1" applyAlignment="1">
      <alignment horizontal="center" vertical="center" shrinkToFit="1"/>
      <protection/>
    </xf>
    <xf numFmtId="183" fontId="2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5" xfId="63" applyBorder="1">
      <alignment vertical="center"/>
      <protection/>
    </xf>
    <xf numFmtId="0" fontId="0" fillId="0" borderId="25" xfId="62" applyFill="1" applyBorder="1">
      <alignment vertical="center"/>
      <protection/>
    </xf>
    <xf numFmtId="0" fontId="0" fillId="0" borderId="26" xfId="62" applyFill="1" applyBorder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/>
    </xf>
    <xf numFmtId="0" fontId="15" fillId="0" borderId="28" xfId="0" applyFont="1" applyFill="1" applyBorder="1" applyAlignment="1" applyProtection="1">
      <alignment horizontal="center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5" fillId="0" borderId="16" xfId="0" applyFont="1" applyFill="1" applyBorder="1" applyAlignment="1" applyProtection="1">
      <alignment horizontal="center" vertical="center" shrinkToFit="1"/>
      <protection/>
    </xf>
    <xf numFmtId="0" fontId="15" fillId="0" borderId="13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center" vertical="center" shrinkToFit="1"/>
      <protection/>
    </xf>
    <xf numFmtId="0" fontId="15" fillId="0" borderId="26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18" fillId="0" borderId="23" xfId="63" applyFont="1" applyBorder="1" applyAlignment="1">
      <alignment horizontal="left" vertical="center"/>
      <protection/>
    </xf>
    <xf numFmtId="56" fontId="23" fillId="0" borderId="12" xfId="62" applyNumberFormat="1" applyFont="1" applyFill="1" applyBorder="1" applyAlignment="1">
      <alignment horizontal="center" vertical="center" shrinkToFit="1"/>
      <protection/>
    </xf>
    <xf numFmtId="20" fontId="23" fillId="0" borderId="10" xfId="62" applyNumberFormat="1" applyFont="1" applyFill="1" applyBorder="1" applyAlignment="1">
      <alignment horizontal="center" vertical="center" shrinkToFit="1"/>
      <protection/>
    </xf>
    <xf numFmtId="183" fontId="23" fillId="0" borderId="10" xfId="62" applyNumberFormat="1" applyFont="1" applyFill="1" applyBorder="1" applyAlignment="1">
      <alignment horizontal="center" vertical="center" shrinkToFit="1"/>
      <protection/>
    </xf>
    <xf numFmtId="0" fontId="22" fillId="0" borderId="31" xfId="62" applyFont="1" applyFill="1" applyBorder="1" applyAlignment="1">
      <alignment horizontal="center" vertical="center" shrinkToFit="1"/>
      <protection/>
    </xf>
    <xf numFmtId="0" fontId="24" fillId="0" borderId="0" xfId="0" applyFont="1" applyAlignment="1" applyProtection="1">
      <alignment horizontal="left" vertical="center"/>
      <protection/>
    </xf>
    <xf numFmtId="0" fontId="23" fillId="0" borderId="0" xfId="62" applyFont="1" applyFill="1" applyBorder="1">
      <alignment vertical="center"/>
      <protection/>
    </xf>
    <xf numFmtId="0" fontId="0" fillId="0" borderId="23" xfId="63" applyFont="1" applyBorder="1" applyAlignment="1">
      <alignment vertical="center"/>
      <protection/>
    </xf>
    <xf numFmtId="0" fontId="0" fillId="0" borderId="23" xfId="62" applyFont="1" applyFill="1" applyBorder="1" applyAlignment="1">
      <alignment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195" fontId="26" fillId="0" borderId="33" xfId="0" applyNumberFormat="1" applyFont="1" applyFill="1" applyBorder="1" applyAlignment="1">
      <alignment horizontal="center" vertical="center" shrinkToFit="1"/>
    </xf>
    <xf numFmtId="195" fontId="26" fillId="0" borderId="34" xfId="0" applyNumberFormat="1" applyFont="1" applyFill="1" applyBorder="1" applyAlignment="1">
      <alignment horizontal="center" vertical="center" shrinkToFit="1"/>
    </xf>
    <xf numFmtId="195" fontId="26" fillId="0" borderId="35" xfId="0" applyNumberFormat="1" applyFont="1" applyFill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  <protection/>
    </xf>
    <xf numFmtId="197" fontId="27" fillId="0" borderId="37" xfId="0" applyNumberFormat="1" applyFont="1" applyFill="1" applyBorder="1" applyAlignment="1">
      <alignment horizontal="center" vertical="center" shrinkToFit="1"/>
    </xf>
    <xf numFmtId="0" fontId="17" fillId="0" borderId="0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5" fillId="0" borderId="40" xfId="0" applyFont="1" applyFill="1" applyBorder="1" applyAlignment="1" applyProtection="1">
      <alignment horizontal="center" vertical="center" shrinkToFit="1"/>
      <protection/>
    </xf>
    <xf numFmtId="0" fontId="15" fillId="0" borderId="41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 applyProtection="1">
      <alignment horizontal="center" vertical="center" shrinkToFit="1"/>
      <protection/>
    </xf>
    <xf numFmtId="0" fontId="15" fillId="0" borderId="44" xfId="0" applyFont="1" applyFill="1" applyBorder="1" applyAlignment="1" applyProtection="1">
      <alignment horizontal="center" vertical="center" shrinkToFit="1"/>
      <protection/>
    </xf>
    <xf numFmtId="0" fontId="15" fillId="0" borderId="45" xfId="0" applyFont="1" applyFill="1" applyBorder="1" applyAlignment="1" applyProtection="1">
      <alignment horizontal="center" vertical="center" shrinkToFit="1"/>
      <protection/>
    </xf>
    <xf numFmtId="0" fontId="18" fillId="0" borderId="23" xfId="63" applyFont="1" applyBorder="1" applyAlignment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83" fontId="2" fillId="0" borderId="46" xfId="0" applyNumberFormat="1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183" fontId="2" fillId="0" borderId="3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8" fillId="0" borderId="44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195" fontId="26" fillId="0" borderId="36" xfId="0" applyNumberFormat="1" applyFont="1" applyFill="1" applyBorder="1" applyAlignment="1">
      <alignment horizontal="center" vertical="center" shrinkToFit="1"/>
    </xf>
    <xf numFmtId="195" fontId="26" fillId="0" borderId="47" xfId="0" applyNumberFormat="1" applyFont="1" applyFill="1" applyBorder="1" applyAlignment="1">
      <alignment horizontal="center" vertical="center" shrinkToFit="1"/>
    </xf>
    <xf numFmtId="0" fontId="27" fillId="0" borderId="47" xfId="0" applyFont="1" applyFill="1" applyBorder="1" applyAlignment="1">
      <alignment horizontal="center" vertical="center" shrinkToFit="1"/>
    </xf>
    <xf numFmtId="0" fontId="0" fillId="0" borderId="46" xfId="63" applyFont="1" applyBorder="1" applyAlignment="1">
      <alignment horizontal="left" vertical="top"/>
      <protection/>
    </xf>
    <xf numFmtId="0" fontId="0" fillId="0" borderId="48" xfId="63" applyFont="1" applyBorder="1" applyAlignment="1">
      <alignment horizontal="left" vertical="top"/>
      <protection/>
    </xf>
    <xf numFmtId="0" fontId="0" fillId="0" borderId="30" xfId="63" applyFont="1" applyBorder="1" applyAlignment="1">
      <alignment horizontal="left" vertical="top"/>
      <protection/>
    </xf>
    <xf numFmtId="0" fontId="33" fillId="0" borderId="10" xfId="62" applyFont="1" applyFill="1" applyBorder="1">
      <alignment vertical="center"/>
      <protection/>
    </xf>
    <xf numFmtId="0" fontId="33" fillId="0" borderId="0" xfId="62" applyFont="1" applyFill="1" applyBorder="1">
      <alignment vertical="center"/>
      <protection/>
    </xf>
    <xf numFmtId="0" fontId="33" fillId="0" borderId="0" xfId="62" applyFont="1" applyFill="1">
      <alignment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33" fillId="0" borderId="11" xfId="62" applyFont="1" applyFill="1" applyBorder="1">
      <alignment vertical="center"/>
      <protection/>
    </xf>
    <xf numFmtId="0" fontId="0" fillId="0" borderId="0" xfId="62" applyFont="1" applyFill="1">
      <alignment vertical="center"/>
      <protection/>
    </xf>
    <xf numFmtId="0" fontId="34" fillId="0" borderId="11" xfId="62" applyFont="1" applyFill="1" applyBorder="1">
      <alignment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0" fillId="0" borderId="11" xfId="62" applyFont="1" applyFill="1" applyBorder="1">
      <alignment vertical="center"/>
      <protection/>
    </xf>
    <xf numFmtId="0" fontId="21" fillId="0" borderId="23" xfId="63" applyFont="1" applyBorder="1" applyAlignment="1">
      <alignment horizontal="left" vertical="center"/>
      <protection/>
    </xf>
    <xf numFmtId="0" fontId="22" fillId="0" borderId="23" xfId="63" applyFont="1" applyBorder="1">
      <alignment vertical="center"/>
      <protection/>
    </xf>
    <xf numFmtId="0" fontId="17" fillId="0" borderId="23" xfId="63" applyFont="1" applyBorder="1" applyAlignment="1">
      <alignment vertical="center"/>
      <protection/>
    </xf>
    <xf numFmtId="0" fontId="1" fillId="0" borderId="10" xfId="63" applyFont="1" applyBorder="1">
      <alignment vertical="center"/>
      <protection/>
    </xf>
    <xf numFmtId="0" fontId="1" fillId="0" borderId="0" xfId="63" applyFont="1" applyBorder="1" applyAlignment="1">
      <alignment vertical="center"/>
      <protection/>
    </xf>
    <xf numFmtId="0" fontId="35" fillId="0" borderId="0" xfId="63" applyFont="1" applyBorder="1">
      <alignment vertical="center"/>
      <protection/>
    </xf>
    <xf numFmtId="0" fontId="35" fillId="0" borderId="0" xfId="63" applyFont="1" applyBorder="1" applyAlignment="1">
      <alignment vertical="center"/>
      <protection/>
    </xf>
    <xf numFmtId="0" fontId="35" fillId="0" borderId="0" xfId="63" applyFont="1" applyBorder="1" applyAlignment="1">
      <alignment horizontal="left" vertical="center"/>
      <protection/>
    </xf>
    <xf numFmtId="0" fontId="1" fillId="0" borderId="0" xfId="63" applyFont="1" applyBorder="1">
      <alignment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1" fillId="0" borderId="0" xfId="63" applyFont="1">
      <alignment vertical="center"/>
      <protection/>
    </xf>
    <xf numFmtId="0" fontId="1" fillId="0" borderId="11" xfId="63" applyFont="1" applyBorder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4" fillId="0" borderId="26" xfId="63" applyFont="1" applyBorder="1" applyAlignment="1">
      <alignment horizontal="left" vertical="top"/>
      <protection/>
    </xf>
    <xf numFmtId="0" fontId="34" fillId="0" borderId="49" xfId="63" applyFont="1" applyBorder="1" applyAlignment="1">
      <alignment horizontal="left" vertical="top"/>
      <protection/>
    </xf>
    <xf numFmtId="0" fontId="34" fillId="0" borderId="0" xfId="63" applyFont="1" applyBorder="1" applyAlignment="1">
      <alignment horizontal="left" vertical="top"/>
      <protection/>
    </xf>
    <xf numFmtId="0" fontId="34" fillId="0" borderId="50" xfId="63" applyFont="1" applyBorder="1" applyAlignment="1">
      <alignment horizontal="left" vertical="top"/>
      <protection/>
    </xf>
    <xf numFmtId="0" fontId="34" fillId="0" borderId="23" xfId="63" applyFont="1" applyBorder="1" applyAlignment="1">
      <alignment horizontal="left" vertical="top"/>
      <protection/>
    </xf>
    <xf numFmtId="0" fontId="34" fillId="0" borderId="51" xfId="63" applyFont="1" applyBorder="1" applyAlignment="1">
      <alignment horizontal="left" vertical="top"/>
      <protection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39" fillId="0" borderId="40" xfId="0" applyFont="1" applyFill="1" applyBorder="1" applyAlignment="1">
      <alignment horizontal="center" vertical="center" shrinkToFit="1"/>
    </xf>
    <xf numFmtId="0" fontId="2" fillId="0" borderId="57" xfId="0" applyFont="1" applyBorder="1" applyAlignment="1" applyProtection="1">
      <alignment horizontal="center" vertical="center" shrinkToFit="1"/>
      <protection/>
    </xf>
    <xf numFmtId="195" fontId="0" fillId="0" borderId="58" xfId="0" applyNumberFormat="1" applyFont="1" applyBorder="1" applyAlignment="1" applyProtection="1">
      <alignment horizontal="center" vertical="center" shrinkToFit="1"/>
      <protection/>
    </xf>
    <xf numFmtId="0" fontId="0" fillId="0" borderId="59" xfId="0" applyNumberFormat="1" applyFont="1" applyBorder="1" applyAlignment="1" applyProtection="1">
      <alignment horizontal="center" vertical="center" shrinkToFit="1"/>
      <protection/>
    </xf>
    <xf numFmtId="195" fontId="0" fillId="0" borderId="60" xfId="0" applyNumberFormat="1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3" fillId="0" borderId="62" xfId="0" applyFont="1" applyFill="1" applyBorder="1" applyAlignment="1">
      <alignment horizontal="center" vertical="center" shrinkToFit="1"/>
    </xf>
    <xf numFmtId="195" fontId="0" fillId="0" borderId="63" xfId="0" applyNumberFormat="1" applyFont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left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9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95" fontId="2" fillId="35" borderId="39" xfId="0" applyNumberFormat="1" applyFont="1" applyFill="1" applyBorder="1" applyAlignment="1">
      <alignment horizontal="center" vertical="center" shrinkToFi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 shrinkToFit="1"/>
    </xf>
    <xf numFmtId="0" fontId="0" fillId="0" borderId="58" xfId="0" applyNumberFormat="1" applyFont="1" applyBorder="1" applyAlignment="1" applyProtection="1">
      <alignment horizontal="center" vertical="center" shrinkToFit="1"/>
      <protection/>
    </xf>
    <xf numFmtId="0" fontId="27" fillId="0" borderId="44" xfId="0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0" fillId="0" borderId="60" xfId="0" applyNumberFormat="1" applyFont="1" applyBorder="1" applyAlignment="1" applyProtection="1">
      <alignment horizontal="center" vertical="center" shrinkToFit="1"/>
      <protection/>
    </xf>
    <xf numFmtId="0" fontId="28" fillId="0" borderId="73" xfId="0" applyFont="1" applyFill="1" applyBorder="1" applyAlignment="1">
      <alignment horizontal="center" vertical="center" shrinkToFit="1"/>
    </xf>
    <xf numFmtId="195" fontId="0" fillId="0" borderId="74" xfId="0" applyNumberFormat="1" applyFont="1" applyBorder="1" applyAlignment="1" applyProtection="1">
      <alignment horizontal="center" vertical="center" shrinkToFit="1"/>
      <protection/>
    </xf>
    <xf numFmtId="0" fontId="28" fillId="0" borderId="75" xfId="0" applyFont="1" applyFill="1" applyBorder="1" applyAlignment="1">
      <alignment horizontal="center" vertical="center" shrinkToFit="1"/>
    </xf>
    <xf numFmtId="0" fontId="0" fillId="0" borderId="76" xfId="0" applyNumberFormat="1" applyFont="1" applyBorder="1" applyAlignment="1" applyProtection="1">
      <alignment horizontal="center" vertical="center" shrinkToFit="1"/>
      <protection/>
    </xf>
    <xf numFmtId="195" fontId="26" fillId="0" borderId="62" xfId="0" applyNumberFormat="1" applyFont="1" applyFill="1" applyBorder="1" applyAlignment="1">
      <alignment horizontal="center" vertical="center" shrinkToFit="1"/>
    </xf>
    <xf numFmtId="0" fontId="28" fillId="0" borderId="70" xfId="0" applyFont="1" applyFill="1" applyBorder="1" applyAlignment="1">
      <alignment horizontal="center" vertical="center" shrinkToFit="1"/>
    </xf>
    <xf numFmtId="195" fontId="26" fillId="0" borderId="40" xfId="0" applyNumberFormat="1" applyFont="1" applyFill="1" applyBorder="1" applyAlignment="1">
      <alignment horizontal="center" vertical="center" shrinkToFit="1"/>
    </xf>
    <xf numFmtId="0" fontId="39" fillId="0" borderId="77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39" fillId="0" borderId="62" xfId="0" applyFont="1" applyFill="1" applyBorder="1" applyAlignment="1">
      <alignment horizontal="center" vertical="center" shrinkToFit="1"/>
    </xf>
    <xf numFmtId="195" fontId="2" fillId="35" borderId="78" xfId="0" applyNumberFormat="1" applyFont="1" applyFill="1" applyBorder="1" applyAlignment="1" applyProtection="1">
      <alignment horizontal="center" vertical="center" shrinkToFit="1"/>
      <protection/>
    </xf>
    <xf numFmtId="195" fontId="2" fillId="35" borderId="79" xfId="0" applyNumberFormat="1" applyFont="1" applyFill="1" applyBorder="1" applyAlignment="1" applyProtection="1">
      <alignment horizontal="center" vertical="center" shrinkToFit="1"/>
      <protection/>
    </xf>
    <xf numFmtId="195" fontId="2" fillId="35" borderId="80" xfId="0" applyNumberFormat="1" applyFont="1" applyFill="1" applyBorder="1" applyAlignment="1" applyProtection="1">
      <alignment horizontal="center" vertical="center" shrinkToFit="1"/>
      <protection/>
    </xf>
    <xf numFmtId="195" fontId="2" fillId="35" borderId="81" xfId="0" applyNumberFormat="1" applyFont="1" applyFill="1" applyBorder="1" applyAlignment="1" applyProtection="1">
      <alignment horizontal="center" vertical="center" shrinkToFit="1"/>
      <protection/>
    </xf>
    <xf numFmtId="195" fontId="2" fillId="35" borderId="82" xfId="0" applyNumberFormat="1" applyFont="1" applyFill="1" applyBorder="1" applyAlignment="1" applyProtection="1">
      <alignment horizontal="center" vertical="center" shrinkToFit="1"/>
      <protection/>
    </xf>
    <xf numFmtId="0" fontId="2" fillId="10" borderId="39" xfId="0" applyFont="1" applyFill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86" xfId="0" applyNumberFormat="1" applyBorder="1" applyAlignment="1">
      <alignment horizontal="center" vertical="center" shrinkToFit="1"/>
    </xf>
    <xf numFmtId="0" fontId="0" fillId="0" borderId="87" xfId="0" applyNumberForma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right" vertical="center"/>
    </xf>
    <xf numFmtId="0" fontId="31" fillId="0" borderId="88" xfId="61" applyFont="1" applyBorder="1" applyAlignment="1">
      <alignment horizontal="center" vertical="center"/>
      <protection/>
    </xf>
    <xf numFmtId="0" fontId="31" fillId="0" borderId="89" xfId="61" applyFont="1" applyBorder="1" applyAlignment="1">
      <alignment horizontal="center" vertical="center"/>
      <protection/>
    </xf>
    <xf numFmtId="0" fontId="31" fillId="0" borderId="63" xfId="61" applyFont="1" applyBorder="1" applyAlignment="1">
      <alignment horizontal="center" vertical="center"/>
      <protection/>
    </xf>
    <xf numFmtId="0" fontId="31" fillId="0" borderId="90" xfId="61" applyFont="1" applyBorder="1" applyAlignment="1">
      <alignment horizontal="center" vertical="center"/>
      <protection/>
    </xf>
    <xf numFmtId="0" fontId="31" fillId="0" borderId="91" xfId="61" applyFont="1" applyBorder="1" applyAlignment="1">
      <alignment horizontal="center" vertical="center"/>
      <protection/>
    </xf>
    <xf numFmtId="0" fontId="31" fillId="0" borderId="92" xfId="6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195" fontId="2" fillId="0" borderId="93" xfId="0" applyNumberFormat="1" applyFont="1" applyBorder="1" applyAlignment="1">
      <alignment horizontal="center" vertical="center" shrinkToFit="1"/>
    </xf>
    <xf numFmtId="0" fontId="0" fillId="0" borderId="93" xfId="0" applyNumberFormat="1" applyBorder="1" applyAlignment="1">
      <alignment horizontal="center" vertical="center" shrinkToFit="1"/>
    </xf>
    <xf numFmtId="198" fontId="2" fillId="0" borderId="93" xfId="0" applyNumberFormat="1" applyFon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0" fillId="0" borderId="94" xfId="0" applyNumberFormat="1" applyBorder="1" applyAlignment="1">
      <alignment horizontal="center" vertical="center" shrinkToFit="1"/>
    </xf>
    <xf numFmtId="0" fontId="0" fillId="0" borderId="95" xfId="0" applyNumberForma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195" fontId="2" fillId="0" borderId="71" xfId="0" applyNumberFormat="1" applyFont="1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198" fontId="2" fillId="0" borderId="71" xfId="0" applyNumberFormat="1" applyFont="1" applyBorder="1" applyAlignment="1">
      <alignment horizontal="center" vertical="center" shrinkToFit="1"/>
    </xf>
    <xf numFmtId="0" fontId="0" fillId="0" borderId="97" xfId="0" applyNumberForma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9" fillId="35" borderId="98" xfId="0" applyNumberFormat="1" applyFont="1" applyFill="1" applyBorder="1" applyAlignment="1">
      <alignment horizontal="center" vertical="center" shrinkToFit="1"/>
    </xf>
    <xf numFmtId="0" fontId="9" fillId="35" borderId="99" xfId="0" applyNumberFormat="1" applyFont="1" applyFill="1" applyBorder="1" applyAlignment="1">
      <alignment horizontal="center" vertical="center" shrinkToFit="1"/>
    </xf>
    <xf numFmtId="0" fontId="9" fillId="35" borderId="43" xfId="0" applyNumberFormat="1" applyFont="1" applyFill="1" applyBorder="1" applyAlignment="1">
      <alignment horizontal="center" vertical="center" shrinkToFit="1"/>
    </xf>
    <xf numFmtId="0" fontId="9" fillId="35" borderId="41" xfId="0" applyNumberFormat="1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195" fontId="2" fillId="0" borderId="101" xfId="0" applyNumberFormat="1" applyFont="1" applyBorder="1" applyAlignment="1">
      <alignment horizontal="center" vertical="center" shrinkToFit="1"/>
    </xf>
    <xf numFmtId="0" fontId="0" fillId="0" borderId="101" xfId="0" applyNumberFormat="1" applyBorder="1" applyAlignment="1">
      <alignment horizontal="center" vertical="center" shrinkToFit="1"/>
    </xf>
    <xf numFmtId="198" fontId="2" fillId="0" borderId="101" xfId="0" applyNumberFormat="1" applyFont="1" applyBorder="1" applyAlignment="1">
      <alignment horizontal="center" vertical="center" shrinkToFit="1"/>
    </xf>
    <xf numFmtId="0" fontId="0" fillId="0" borderId="102" xfId="0" applyNumberForma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0" fillId="0" borderId="103" xfId="0" applyNumberFormat="1" applyBorder="1" applyAlignment="1">
      <alignment horizontal="center" vertical="center" shrinkToFit="1"/>
    </xf>
    <xf numFmtId="0" fontId="0" fillId="0" borderId="104" xfId="0" applyNumberForma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195" fontId="2" fillId="0" borderId="106" xfId="0" applyNumberFormat="1" applyFont="1" applyBorder="1" applyAlignment="1">
      <alignment horizontal="center" vertical="center" shrinkToFit="1"/>
    </xf>
    <xf numFmtId="0" fontId="0" fillId="0" borderId="106" xfId="0" applyNumberFormat="1" applyBorder="1" applyAlignment="1">
      <alignment horizontal="center" vertical="center" shrinkToFit="1"/>
    </xf>
    <xf numFmtId="198" fontId="2" fillId="0" borderId="106" xfId="0" applyNumberFormat="1" applyFont="1" applyBorder="1" applyAlignment="1">
      <alignment horizontal="center" vertical="center" shrinkToFit="1"/>
    </xf>
    <xf numFmtId="0" fontId="0" fillId="0" borderId="107" xfId="0" applyNumberFormat="1" applyBorder="1" applyAlignment="1">
      <alignment horizontal="center" vertical="center" shrinkToFit="1"/>
    </xf>
    <xf numFmtId="0" fontId="9" fillId="35" borderId="108" xfId="0" applyNumberFormat="1" applyFont="1" applyFill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0" fillId="0" borderId="109" xfId="0" applyNumberFormat="1" applyBorder="1" applyAlignment="1">
      <alignment horizontal="center" vertical="center" shrinkToFit="1"/>
    </xf>
    <xf numFmtId="0" fontId="0" fillId="0" borderId="110" xfId="0" applyNumberForma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8" fillId="0" borderId="0" xfId="0" applyFont="1" applyAlignment="1" applyProtection="1">
      <alignment horizontal="left" vertical="center" shrinkToFit="1"/>
      <protection/>
    </xf>
    <xf numFmtId="195" fontId="0" fillId="0" borderId="36" xfId="0" applyNumberFormat="1" applyBorder="1" applyAlignment="1">
      <alignment horizontal="center" vertical="center"/>
    </xf>
    <xf numFmtId="195" fontId="0" fillId="0" borderId="35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 shrinkToFit="1"/>
    </xf>
    <xf numFmtId="195" fontId="0" fillId="0" borderId="112" xfId="0" applyNumberForma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195" fontId="0" fillId="0" borderId="113" xfId="0" applyNumberFormat="1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195" fontId="0" fillId="0" borderId="16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95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95" fontId="0" fillId="0" borderId="41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95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195" fontId="0" fillId="0" borderId="99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95" fontId="0" fillId="0" borderId="52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195" fontId="0" fillId="0" borderId="39" xfId="0" applyNumberFormat="1" applyBorder="1" applyAlignment="1">
      <alignment horizontal="left" vertical="center"/>
    </xf>
    <xf numFmtId="195" fontId="0" fillId="0" borderId="39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116" xfId="0" applyFont="1" applyFill="1" applyBorder="1" applyAlignment="1" applyProtection="1">
      <alignment horizontal="center" vertical="center" shrinkToFit="1"/>
      <protection/>
    </xf>
    <xf numFmtId="0" fontId="5" fillId="0" borderId="116" xfId="0" applyFont="1" applyBorder="1" applyAlignment="1" applyProtection="1">
      <alignment horizontal="center" vertical="center" shrinkToFit="1"/>
      <protection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195" fontId="2" fillId="0" borderId="123" xfId="0" applyNumberFormat="1" applyFont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 shrinkToFit="1"/>
    </xf>
    <xf numFmtId="198" fontId="2" fillId="0" borderId="123" xfId="0" applyNumberFormat="1" applyFont="1" applyBorder="1" applyAlignment="1">
      <alignment horizontal="center" vertical="center" shrinkToFit="1"/>
    </xf>
    <xf numFmtId="0" fontId="0" fillId="0" borderId="124" xfId="0" applyNumberFormat="1" applyBorder="1" applyAlignment="1">
      <alignment horizontal="center" vertical="center" shrinkToFit="1"/>
    </xf>
    <xf numFmtId="0" fontId="0" fillId="0" borderId="77" xfId="0" applyNumberFormat="1" applyBorder="1" applyAlignment="1">
      <alignment horizontal="center" vertical="center" shrinkToFit="1"/>
    </xf>
    <xf numFmtId="0" fontId="0" fillId="0" borderId="58" xfId="0" applyNumberForma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95" fontId="2" fillId="0" borderId="125" xfId="0" applyNumberFormat="1" applyFont="1" applyBorder="1" applyAlignment="1">
      <alignment horizontal="center" vertical="center" shrinkToFit="1"/>
    </xf>
    <xf numFmtId="0" fontId="0" fillId="0" borderId="125" xfId="0" applyNumberFormat="1" applyBorder="1" applyAlignment="1">
      <alignment horizontal="center" vertical="center" shrinkToFit="1"/>
    </xf>
    <xf numFmtId="198" fontId="2" fillId="0" borderId="125" xfId="0" applyNumberFormat="1" applyFon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9" fillId="35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126" xfId="0" applyNumberFormat="1" applyBorder="1" applyAlignment="1">
      <alignment horizontal="center" vertical="center" shrinkToFit="1"/>
    </xf>
    <xf numFmtId="0" fontId="0" fillId="0" borderId="127" xfId="0" applyNumberForma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2" fillId="36" borderId="72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98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98" fontId="9" fillId="35" borderId="39" xfId="0" applyNumberFormat="1" applyFont="1" applyFill="1" applyBorder="1" applyAlignment="1" applyProtection="1">
      <alignment horizontal="center" vertical="center" shrinkToFit="1"/>
      <protection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195" fontId="2" fillId="34" borderId="14" xfId="0" applyNumberFormat="1" applyFont="1" applyFill="1" applyBorder="1" applyAlignment="1">
      <alignment horizontal="center" vertical="center"/>
    </xf>
    <xf numFmtId="195" fontId="2" fillId="34" borderId="15" xfId="0" applyNumberFormat="1" applyFont="1" applyFill="1" applyBorder="1" applyAlignment="1">
      <alignment horizontal="center" vertical="center"/>
    </xf>
    <xf numFmtId="0" fontId="0" fillId="0" borderId="96" xfId="0" applyNumberFormat="1" applyBorder="1" applyAlignment="1">
      <alignment horizontal="left" vertical="center" shrinkToFit="1"/>
    </xf>
    <xf numFmtId="0" fontId="0" fillId="0" borderId="71" xfId="0" applyNumberFormat="1" applyBorder="1" applyAlignment="1">
      <alignment horizontal="left" vertical="center" shrinkToFit="1"/>
    </xf>
    <xf numFmtId="0" fontId="2" fillId="34" borderId="92" xfId="0" applyFont="1" applyFill="1" applyBorder="1" applyAlignment="1">
      <alignment horizontal="center" vertical="center" shrinkToFit="1"/>
    </xf>
    <xf numFmtId="0" fontId="2" fillId="34" borderId="37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 textRotation="255"/>
    </xf>
    <xf numFmtId="0" fontId="40" fillId="0" borderId="128" xfId="0" applyFont="1" applyBorder="1" applyAlignment="1">
      <alignment horizontal="right" vertical="center" textRotation="255"/>
    </xf>
    <xf numFmtId="0" fontId="40" fillId="0" borderId="129" xfId="0" applyFont="1" applyBorder="1" applyAlignment="1">
      <alignment horizontal="right" vertical="center" textRotation="255"/>
    </xf>
    <xf numFmtId="0" fontId="40" fillId="0" borderId="130" xfId="0" applyFont="1" applyBorder="1" applyAlignment="1">
      <alignment horizontal="right" vertical="center" textRotation="255"/>
    </xf>
    <xf numFmtId="0" fontId="9" fillId="0" borderId="13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32" fillId="35" borderId="133" xfId="0" applyFont="1" applyFill="1" applyBorder="1" applyAlignment="1">
      <alignment horizontal="center" vertical="center" shrinkToFit="1"/>
    </xf>
    <xf numFmtId="0" fontId="32" fillId="35" borderId="134" xfId="0" applyFont="1" applyFill="1" applyBorder="1" applyAlignment="1">
      <alignment horizontal="center" vertical="center" shrinkToFit="1"/>
    </xf>
    <xf numFmtId="0" fontId="32" fillId="35" borderId="135" xfId="0" applyFont="1" applyFill="1" applyBorder="1" applyAlignment="1">
      <alignment horizontal="center" vertical="center" shrinkToFit="1"/>
    </xf>
    <xf numFmtId="0" fontId="2" fillId="34" borderId="136" xfId="0" applyFont="1" applyFill="1" applyBorder="1" applyAlignment="1">
      <alignment horizontal="center" vertical="center"/>
    </xf>
    <xf numFmtId="0" fontId="2" fillId="34" borderId="137" xfId="0" applyFont="1" applyFill="1" applyBorder="1" applyAlignment="1">
      <alignment horizontal="center" vertical="center"/>
    </xf>
    <xf numFmtId="0" fontId="9" fillId="35" borderId="138" xfId="0" applyFont="1" applyFill="1" applyBorder="1" applyAlignment="1" applyProtection="1">
      <alignment horizontal="center" vertical="center" shrinkToFit="1"/>
      <protection/>
    </xf>
    <xf numFmtId="0" fontId="9" fillId="35" borderId="139" xfId="0" applyFont="1" applyFill="1" applyBorder="1" applyAlignment="1" applyProtection="1">
      <alignment horizontal="center" vertical="center" shrinkToFit="1"/>
      <protection/>
    </xf>
    <xf numFmtId="0" fontId="9" fillId="35" borderId="140" xfId="0" applyFont="1" applyFill="1" applyBorder="1" applyAlignment="1" applyProtection="1">
      <alignment horizontal="center" vertical="center" shrinkToFit="1"/>
      <protection/>
    </xf>
    <xf numFmtId="0" fontId="9" fillId="35" borderId="141" xfId="0" applyFont="1" applyFill="1" applyBorder="1" applyAlignment="1" applyProtection="1">
      <alignment horizontal="center" vertical="center" shrinkToFit="1"/>
      <protection/>
    </xf>
    <xf numFmtId="0" fontId="9" fillId="35" borderId="142" xfId="0" applyFont="1" applyFill="1" applyBorder="1" applyAlignment="1" applyProtection="1">
      <alignment horizontal="center" vertical="center" shrinkToFit="1"/>
      <protection/>
    </xf>
    <xf numFmtId="0" fontId="14" fillId="35" borderId="143" xfId="0" applyFont="1" applyFill="1" applyBorder="1" applyAlignment="1" applyProtection="1">
      <alignment horizontal="center" vertical="center" shrinkToFit="1"/>
      <protection/>
    </xf>
    <xf numFmtId="0" fontId="14" fillId="35" borderId="144" xfId="0" applyFont="1" applyFill="1" applyBorder="1" applyAlignment="1" applyProtection="1">
      <alignment horizontal="center" vertical="center" shrinkToFit="1"/>
      <protection/>
    </xf>
    <xf numFmtId="0" fontId="14" fillId="35" borderId="145" xfId="0" applyFont="1" applyFill="1" applyBorder="1" applyAlignment="1" applyProtection="1">
      <alignment horizontal="center" vertical="center" shrinkToFit="1"/>
      <protection/>
    </xf>
    <xf numFmtId="0" fontId="14" fillId="35" borderId="146" xfId="0" applyFont="1" applyFill="1" applyBorder="1" applyAlignment="1" applyProtection="1">
      <alignment horizontal="center" vertical="center" shrinkToFit="1"/>
      <protection/>
    </xf>
    <xf numFmtId="0" fontId="14" fillId="35" borderId="147" xfId="0" applyFont="1" applyFill="1" applyBorder="1" applyAlignment="1" applyProtection="1">
      <alignment horizontal="center" vertical="center" shrinkToFit="1"/>
      <protection/>
    </xf>
    <xf numFmtId="0" fontId="14" fillId="35" borderId="148" xfId="0" applyFont="1" applyFill="1" applyBorder="1" applyAlignment="1" applyProtection="1">
      <alignment horizontal="center" vertical="center" shrinkToFit="1"/>
      <protection/>
    </xf>
    <xf numFmtId="0" fontId="9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35" borderId="151" xfId="0" applyFont="1" applyFill="1" applyBorder="1" applyAlignment="1" applyProtection="1">
      <alignment horizontal="center" vertical="center" shrinkToFit="1"/>
      <protection/>
    </xf>
    <xf numFmtId="0" fontId="9" fillId="35" borderId="152" xfId="0" applyFont="1" applyFill="1" applyBorder="1" applyAlignment="1" applyProtection="1">
      <alignment horizontal="center" vertical="center" shrinkToFit="1"/>
      <protection/>
    </xf>
    <xf numFmtId="0" fontId="9" fillId="35" borderId="153" xfId="0" applyFont="1" applyFill="1" applyBorder="1" applyAlignment="1" applyProtection="1">
      <alignment horizontal="center" vertical="center" shrinkToFit="1"/>
      <protection/>
    </xf>
    <xf numFmtId="0" fontId="32" fillId="36" borderId="133" xfId="0" applyFont="1" applyFill="1" applyBorder="1" applyAlignment="1">
      <alignment horizontal="center" vertical="center"/>
    </xf>
    <xf numFmtId="0" fontId="32" fillId="36" borderId="135" xfId="0" applyFont="1" applyFill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55" xfId="0" applyFont="1" applyBorder="1" applyAlignment="1" applyProtection="1">
      <alignment horizontal="center" vertical="center" shrinkToFit="1"/>
      <protection/>
    </xf>
    <xf numFmtId="0" fontId="2" fillId="0" borderId="156" xfId="0" applyFont="1" applyBorder="1" applyAlignment="1" applyProtection="1">
      <alignment horizontal="center" vertical="center" shrinkToFit="1"/>
      <protection/>
    </xf>
    <xf numFmtId="0" fontId="0" fillId="0" borderId="157" xfId="0" applyBorder="1" applyAlignment="1">
      <alignment horizontal="center" vertical="center"/>
    </xf>
    <xf numFmtId="0" fontId="9" fillId="35" borderId="158" xfId="0" applyFont="1" applyFill="1" applyBorder="1" applyAlignment="1" applyProtection="1">
      <alignment horizontal="center" vertical="center" shrinkToFit="1"/>
      <protection/>
    </xf>
    <xf numFmtId="0" fontId="9" fillId="35" borderId="159" xfId="0" applyFont="1" applyFill="1" applyBorder="1" applyAlignment="1" applyProtection="1">
      <alignment horizontal="center" vertical="center" shrinkToFit="1"/>
      <protection/>
    </xf>
    <xf numFmtId="0" fontId="9" fillId="35" borderId="160" xfId="0" applyFont="1" applyFill="1" applyBorder="1" applyAlignment="1" applyProtection="1">
      <alignment horizontal="center" vertical="center" shrinkToFit="1"/>
      <protection/>
    </xf>
    <xf numFmtId="0" fontId="2" fillId="0" borderId="161" xfId="0" applyFont="1" applyBorder="1" applyAlignment="1" applyProtection="1">
      <alignment horizontal="center" vertical="center" shrinkToFit="1"/>
      <protection/>
    </xf>
    <xf numFmtId="0" fontId="2" fillId="0" borderId="162" xfId="0" applyFont="1" applyBorder="1" applyAlignment="1" applyProtection="1">
      <alignment horizontal="center" vertical="center" shrinkToFit="1"/>
      <protection/>
    </xf>
    <xf numFmtId="0" fontId="2" fillId="0" borderId="163" xfId="0" applyFont="1" applyBorder="1" applyAlignment="1" applyProtection="1">
      <alignment horizontal="center" vertical="center" shrinkToFit="1"/>
      <protection/>
    </xf>
    <xf numFmtId="0" fontId="2" fillId="0" borderId="164" xfId="0" applyFont="1" applyBorder="1" applyAlignment="1" applyProtection="1">
      <alignment horizontal="center" vertical="center" shrinkToFit="1"/>
      <protection/>
    </xf>
    <xf numFmtId="198" fontId="9" fillId="35" borderId="55" xfId="0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>
      <alignment horizontal="center" vertical="center"/>
    </xf>
    <xf numFmtId="0" fontId="0" fillId="0" borderId="155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3" borderId="166" xfId="0" applyFont="1" applyFill="1" applyBorder="1" applyAlignment="1">
      <alignment horizontal="center" vertical="center"/>
    </xf>
    <xf numFmtId="0" fontId="9" fillId="3" borderId="167" xfId="0" applyFont="1" applyFill="1" applyBorder="1" applyAlignment="1">
      <alignment horizontal="center" vertical="center"/>
    </xf>
    <xf numFmtId="0" fontId="9" fillId="3" borderId="13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center" vertical="center" shrinkToFit="1"/>
    </xf>
    <xf numFmtId="0" fontId="41" fillId="0" borderId="168" xfId="0" applyFont="1" applyFill="1" applyBorder="1" applyAlignment="1">
      <alignment horizontal="center" vertical="center" shrinkToFit="1"/>
    </xf>
    <xf numFmtId="0" fontId="0" fillId="0" borderId="169" xfId="0" applyBorder="1" applyAlignment="1">
      <alignment vertical="center" shrinkToFit="1"/>
    </xf>
    <xf numFmtId="0" fontId="0" fillId="0" borderId="170" xfId="0" applyBorder="1" applyAlignment="1">
      <alignment vertical="center" shrinkToFit="1"/>
    </xf>
    <xf numFmtId="0" fontId="0" fillId="0" borderId="171" xfId="0" applyBorder="1" applyAlignment="1">
      <alignment vertical="center" shrinkToFit="1"/>
    </xf>
    <xf numFmtId="0" fontId="0" fillId="0" borderId="172" xfId="0" applyBorder="1" applyAlignment="1">
      <alignment vertical="center" shrinkToFit="1"/>
    </xf>
    <xf numFmtId="0" fontId="0" fillId="0" borderId="173" xfId="0" applyBorder="1" applyAlignment="1">
      <alignment vertical="center" shrinkToFit="1"/>
    </xf>
    <xf numFmtId="0" fontId="0" fillId="0" borderId="174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1" fillId="0" borderId="175" xfId="0" applyFont="1" applyFill="1" applyBorder="1" applyAlignment="1">
      <alignment horizontal="center" vertical="center" shrinkToFit="1"/>
    </xf>
    <xf numFmtId="0" fontId="41" fillId="0" borderId="176" xfId="0" applyFont="1" applyFill="1" applyBorder="1" applyAlignment="1">
      <alignment horizontal="center" vertical="center" shrinkToFit="1"/>
    </xf>
    <xf numFmtId="0" fontId="41" fillId="0" borderId="177" xfId="0" applyFont="1" applyFill="1" applyBorder="1" applyAlignment="1">
      <alignment horizontal="center" vertical="center" shrinkToFit="1"/>
    </xf>
    <xf numFmtId="0" fontId="41" fillId="0" borderId="178" xfId="0" applyFont="1" applyFill="1" applyBorder="1" applyAlignment="1">
      <alignment horizontal="center" vertical="center" shrinkToFit="1"/>
    </xf>
    <xf numFmtId="0" fontId="0" fillId="0" borderId="179" xfId="0" applyBorder="1" applyAlignment="1">
      <alignment vertical="center" shrinkToFit="1"/>
    </xf>
    <xf numFmtId="0" fontId="0" fillId="0" borderId="180" xfId="0" applyBorder="1" applyAlignment="1">
      <alignment vertical="center" shrinkToFit="1"/>
    </xf>
    <xf numFmtId="0" fontId="0" fillId="10" borderId="181" xfId="0" applyFont="1" applyFill="1" applyBorder="1" applyAlignment="1">
      <alignment horizontal="center" vertical="center" shrinkToFit="1"/>
    </xf>
    <xf numFmtId="0" fontId="0" fillId="10" borderId="182" xfId="0" applyFont="1" applyFill="1" applyBorder="1" applyAlignment="1">
      <alignment horizontal="center" vertical="center" shrinkToFit="1"/>
    </xf>
    <xf numFmtId="0" fontId="0" fillId="10" borderId="183" xfId="0" applyFont="1" applyFill="1" applyBorder="1" applyAlignment="1">
      <alignment horizontal="center" vertical="center" shrinkToFit="1"/>
    </xf>
    <xf numFmtId="0" fontId="0" fillId="10" borderId="184" xfId="0" applyFont="1" applyFill="1" applyBorder="1" applyAlignment="1">
      <alignment horizontal="center" vertical="center" shrinkToFit="1"/>
    </xf>
    <xf numFmtId="0" fontId="0" fillId="10" borderId="57" xfId="0" applyFont="1" applyFill="1" applyBorder="1" applyAlignment="1">
      <alignment horizontal="center" vertical="center" shrinkToFit="1"/>
    </xf>
    <xf numFmtId="0" fontId="0" fillId="10" borderId="185" xfId="0" applyFont="1" applyFill="1" applyBorder="1" applyAlignment="1">
      <alignment horizontal="center" vertical="center" shrinkToFit="1"/>
    </xf>
    <xf numFmtId="0" fontId="41" fillId="0" borderId="186" xfId="0" applyFont="1" applyFill="1" applyBorder="1" applyAlignment="1">
      <alignment horizontal="center" vertical="center" shrinkToFit="1"/>
    </xf>
    <xf numFmtId="0" fontId="41" fillId="0" borderId="182" xfId="0" applyFont="1" applyFill="1" applyBorder="1" applyAlignment="1">
      <alignment horizontal="center" vertical="center" shrinkToFit="1"/>
    </xf>
    <xf numFmtId="0" fontId="41" fillId="0" borderId="183" xfId="0" applyFont="1" applyFill="1" applyBorder="1" applyAlignment="1">
      <alignment horizontal="center" vertical="center" shrinkToFit="1"/>
    </xf>
    <xf numFmtId="0" fontId="0" fillId="0" borderId="187" xfId="0" applyBorder="1" applyAlignment="1">
      <alignment vertical="center" shrinkToFit="1"/>
    </xf>
    <xf numFmtId="0" fontId="0" fillId="0" borderId="188" xfId="0" applyBorder="1" applyAlignment="1">
      <alignment vertical="center" shrinkToFit="1"/>
    </xf>
    <xf numFmtId="0" fontId="0" fillId="0" borderId="189" xfId="0" applyBorder="1" applyAlignment="1">
      <alignment vertical="center" shrinkToFit="1"/>
    </xf>
    <xf numFmtId="0" fontId="0" fillId="0" borderId="190" xfId="0" applyBorder="1" applyAlignment="1">
      <alignment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165" xfId="0" applyFont="1" applyFill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30" fillId="0" borderId="191" xfId="0" applyFont="1" applyBorder="1" applyAlignment="1" applyProtection="1">
      <alignment horizontal="center" vertical="center" shrinkToFit="1"/>
      <protection/>
    </xf>
    <xf numFmtId="0" fontId="30" fillId="0" borderId="192" xfId="0" applyFont="1" applyBorder="1" applyAlignment="1" applyProtection="1">
      <alignment horizontal="center" vertical="center" shrinkToFit="1"/>
      <protection/>
    </xf>
    <xf numFmtId="0" fontId="30" fillId="0" borderId="193" xfId="0" applyFont="1" applyBorder="1" applyAlignment="1" applyProtection="1">
      <alignment horizontal="center" vertical="center" shrinkToFit="1"/>
      <protection/>
    </xf>
    <xf numFmtId="0" fontId="6" fillId="0" borderId="194" xfId="0" applyFont="1" applyBorder="1" applyAlignment="1" applyProtection="1">
      <alignment horizontal="center" vertical="center" shrinkToFit="1"/>
      <protection/>
    </xf>
    <xf numFmtId="0" fontId="6" fillId="0" borderId="195" xfId="0" applyFont="1" applyBorder="1" applyAlignment="1" applyProtection="1">
      <alignment horizontal="center" vertical="center" shrinkToFit="1"/>
      <protection/>
    </xf>
    <xf numFmtId="0" fontId="10" fillId="0" borderId="196" xfId="0" applyFont="1" applyBorder="1" applyAlignment="1" applyProtection="1">
      <alignment horizontal="center" vertical="center" shrinkToFit="1"/>
      <protection/>
    </xf>
    <xf numFmtId="0" fontId="10" fillId="0" borderId="197" xfId="0" applyFont="1" applyBorder="1" applyAlignment="1" applyProtection="1">
      <alignment horizontal="center" vertical="center" shrinkToFit="1"/>
      <protection/>
    </xf>
    <xf numFmtId="0" fontId="10" fillId="0" borderId="198" xfId="0" applyFont="1" applyBorder="1" applyAlignment="1" applyProtection="1">
      <alignment horizontal="center" vertical="center" shrinkToFit="1"/>
      <protection/>
    </xf>
    <xf numFmtId="0" fontId="10" fillId="0" borderId="199" xfId="0" applyFont="1" applyBorder="1" applyAlignment="1" applyProtection="1">
      <alignment horizontal="center" vertical="center" shrinkToFit="1"/>
      <protection/>
    </xf>
    <xf numFmtId="0" fontId="10" fillId="0" borderId="200" xfId="0" applyFont="1" applyBorder="1" applyAlignment="1" applyProtection="1">
      <alignment horizontal="center" vertical="center" shrinkToFit="1"/>
      <protection/>
    </xf>
    <xf numFmtId="0" fontId="10" fillId="0" borderId="201" xfId="0" applyFont="1" applyBorder="1" applyAlignment="1" applyProtection="1">
      <alignment horizontal="center" vertical="center" shrinkToFit="1"/>
      <protection/>
    </xf>
    <xf numFmtId="0" fontId="10" fillId="0" borderId="202" xfId="0" applyFont="1" applyBorder="1" applyAlignment="1" applyProtection="1">
      <alignment horizontal="center" vertical="center" shrinkToFit="1"/>
      <protection/>
    </xf>
    <xf numFmtId="0" fontId="10" fillId="0" borderId="203" xfId="0" applyFont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116" xfId="0" applyFont="1" applyFill="1" applyBorder="1" applyAlignment="1" applyProtection="1">
      <alignment horizontal="center" vertical="center" shrinkToFit="1"/>
      <protection/>
    </xf>
    <xf numFmtId="0" fontId="30" fillId="0" borderId="52" xfId="0" applyFont="1" applyBorder="1" applyAlignment="1" applyProtection="1">
      <alignment horizontal="center" vertical="center" shrinkToFit="1"/>
      <protection/>
    </xf>
    <xf numFmtId="0" fontId="30" fillId="0" borderId="53" xfId="0" applyFont="1" applyBorder="1" applyAlignment="1" applyProtection="1">
      <alignment horizontal="center" vertical="center" shrinkToFit="1"/>
      <protection/>
    </xf>
    <xf numFmtId="0" fontId="30" fillId="0" borderId="55" xfId="0" applyFont="1" applyBorder="1" applyAlignment="1" applyProtection="1">
      <alignment horizontal="center" vertical="center" shrinkToFit="1"/>
      <protection/>
    </xf>
    <xf numFmtId="0" fontId="30" fillId="0" borderId="204" xfId="0" applyFont="1" applyBorder="1" applyAlignment="1" applyProtection="1">
      <alignment horizontal="center" vertical="center" shrinkToFit="1"/>
      <protection/>
    </xf>
    <xf numFmtId="0" fontId="30" fillId="0" borderId="205" xfId="0" applyFont="1" applyBorder="1" applyAlignment="1" applyProtection="1">
      <alignment horizontal="center" vertical="center" shrinkToFit="1"/>
      <protection/>
    </xf>
    <xf numFmtId="0" fontId="30" fillId="0" borderId="206" xfId="0" applyFont="1" applyBorder="1" applyAlignment="1" applyProtection="1">
      <alignment horizontal="center" vertical="center" shrinkToFit="1"/>
      <protection/>
    </xf>
    <xf numFmtId="0" fontId="30" fillId="0" borderId="207" xfId="0" applyFont="1" applyBorder="1" applyAlignment="1" applyProtection="1">
      <alignment horizontal="center" vertical="center" shrinkToFit="1"/>
      <protection/>
    </xf>
    <xf numFmtId="0" fontId="30" fillId="0" borderId="208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195" fontId="7" fillId="0" borderId="0" xfId="0" applyNumberFormat="1" applyFont="1" applyFill="1" applyBorder="1" applyAlignment="1" applyProtection="1">
      <alignment horizontal="left" vertical="center" shrinkToFit="1"/>
      <protection/>
    </xf>
    <xf numFmtId="195" fontId="7" fillId="0" borderId="11" xfId="0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14" xfId="0" applyFont="1" applyBorder="1" applyAlignment="1" applyProtection="1">
      <alignment horizontal="center" vertical="center" shrinkToFit="1"/>
      <protection/>
    </xf>
    <xf numFmtId="0" fontId="30" fillId="0" borderId="209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30" fillId="0" borderId="210" xfId="0" applyFont="1" applyBorder="1" applyAlignment="1" applyProtection="1">
      <alignment horizontal="center" vertical="center" shrinkToFit="1"/>
      <protection/>
    </xf>
    <xf numFmtId="0" fontId="30" fillId="0" borderId="211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195" fontId="7" fillId="0" borderId="0" xfId="0" applyNumberFormat="1" applyFont="1" applyFill="1" applyBorder="1" applyAlignment="1" applyProtection="1">
      <alignment horizontal="center" vertical="center" shrinkToFit="1"/>
      <protection/>
    </xf>
    <xf numFmtId="195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212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10" fillId="0" borderId="213" xfId="0" applyFont="1" applyBorder="1" applyAlignment="1" applyProtection="1">
      <alignment horizontal="center" vertical="center" shrinkToFit="1"/>
      <protection/>
    </xf>
    <xf numFmtId="0" fontId="6" fillId="0" borderId="214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215" xfId="0" applyFont="1" applyBorder="1" applyAlignment="1" applyProtection="1">
      <alignment horizontal="center" vertical="center" shrinkToFit="1"/>
      <protection/>
    </xf>
    <xf numFmtId="0" fontId="6" fillId="0" borderId="216" xfId="0" applyFont="1" applyBorder="1" applyAlignment="1" applyProtection="1">
      <alignment horizontal="center" vertical="center" shrinkToFit="1"/>
      <protection/>
    </xf>
    <xf numFmtId="0" fontId="6" fillId="0" borderId="217" xfId="0" applyFont="1" applyBorder="1" applyAlignment="1" applyProtection="1">
      <alignment horizontal="center" vertical="center" shrinkToFit="1"/>
      <protection/>
    </xf>
    <xf numFmtId="0" fontId="6" fillId="0" borderId="218" xfId="0" applyFont="1" applyBorder="1" applyAlignment="1" applyProtection="1">
      <alignment horizontal="center" vertical="center" shrinkToFit="1"/>
      <protection/>
    </xf>
    <xf numFmtId="0" fontId="7" fillId="0" borderId="219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Border="1" applyAlignment="1" applyProtection="1">
      <alignment horizontal="center" vertical="center" shrinkToFit="1"/>
      <protection/>
    </xf>
    <xf numFmtId="0" fontId="10" fillId="0" borderId="53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30" fillId="0" borderId="22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6" fillId="0" borderId="221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15" fillId="0" borderId="222" xfId="0" applyFont="1" applyFill="1" applyBorder="1" applyAlignment="1" applyProtection="1">
      <alignment horizontal="center" vertical="center" shrinkToFit="1"/>
      <protection/>
    </xf>
    <xf numFmtId="0" fontId="15" fillId="0" borderId="223" xfId="0" applyFont="1" applyFill="1" applyBorder="1" applyAlignment="1" applyProtection="1">
      <alignment horizontal="center" vertical="center" shrinkToFit="1"/>
      <protection/>
    </xf>
    <xf numFmtId="0" fontId="15" fillId="0" borderId="214" xfId="0" applyFont="1" applyFill="1" applyBorder="1" applyAlignment="1" applyProtection="1">
      <alignment horizontal="center" vertical="center" shrinkToFit="1"/>
      <protection/>
    </xf>
    <xf numFmtId="0" fontId="15" fillId="0" borderId="224" xfId="0" applyFont="1" applyFill="1" applyBorder="1" applyAlignment="1" applyProtection="1">
      <alignment horizontal="center" vertical="center" shrinkToFit="1"/>
      <protection/>
    </xf>
    <xf numFmtId="0" fontId="15" fillId="0" borderId="215" xfId="0" applyFont="1" applyBorder="1" applyAlignment="1" applyProtection="1">
      <alignment horizontal="center" vertical="center" shrinkToFit="1"/>
      <protection/>
    </xf>
    <xf numFmtId="0" fontId="15" fillId="0" borderId="218" xfId="0" applyFont="1" applyBorder="1" applyAlignment="1" applyProtection="1">
      <alignment horizontal="center" vertical="center" shrinkToFit="1"/>
      <protection/>
    </xf>
    <xf numFmtId="0" fontId="15" fillId="0" borderId="221" xfId="0" applyFont="1" applyBorder="1" applyAlignment="1" applyProtection="1">
      <alignment horizontal="center" vertical="center" shrinkToFit="1"/>
      <protection/>
    </xf>
    <xf numFmtId="0" fontId="15" fillId="0" borderId="216" xfId="0" applyFont="1" applyBorder="1" applyAlignment="1" applyProtection="1">
      <alignment horizontal="center" vertical="center" shrinkToFit="1"/>
      <protection/>
    </xf>
    <xf numFmtId="0" fontId="15" fillId="0" borderId="114" xfId="0" applyFont="1" applyFill="1" applyBorder="1" applyAlignment="1" applyProtection="1">
      <alignment horizontal="center" vertical="center" shrinkToFit="1"/>
      <protection/>
    </xf>
    <xf numFmtId="0" fontId="15" fillId="0" borderId="219" xfId="0" applyFont="1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15" fillId="0" borderId="210" xfId="0" applyFont="1" applyFill="1" applyBorder="1" applyAlignment="1" applyProtection="1">
      <alignment horizontal="center" vertical="center" shrinkToFit="1"/>
      <protection/>
    </xf>
    <xf numFmtId="0" fontId="15" fillId="0" borderId="192" xfId="0" applyFont="1" applyFill="1" applyBorder="1" applyAlignment="1" applyProtection="1">
      <alignment horizontal="center" vertical="center" shrinkToFit="1"/>
      <protection/>
    </xf>
    <xf numFmtId="0" fontId="15" fillId="0" borderId="52" xfId="0" applyFont="1" applyFill="1" applyBorder="1" applyAlignment="1" applyProtection="1">
      <alignment horizontal="center" vertical="center" shrinkToFit="1"/>
      <protection/>
    </xf>
    <xf numFmtId="0" fontId="15" fillId="0" borderId="55" xfId="0" applyFont="1" applyFill="1" applyBorder="1" applyAlignment="1" applyProtection="1">
      <alignment horizontal="center" vertical="center" shrinkToFit="1"/>
      <protection/>
    </xf>
    <xf numFmtId="0" fontId="15" fillId="0" borderId="191" xfId="0" applyFont="1" applyFill="1" applyBorder="1" applyAlignment="1" applyProtection="1">
      <alignment horizontal="center" vertical="center" shrinkToFit="1"/>
      <protection/>
    </xf>
    <xf numFmtId="0" fontId="15" fillId="0" borderId="204" xfId="0" applyFont="1" applyFill="1" applyBorder="1" applyAlignment="1" applyProtection="1">
      <alignment horizontal="center" vertical="center" shrinkToFit="1"/>
      <protection/>
    </xf>
    <xf numFmtId="0" fontId="15" fillId="0" borderId="53" xfId="0" applyFont="1" applyFill="1" applyBorder="1" applyAlignment="1" applyProtection="1">
      <alignment horizontal="center" vertical="center" shrinkToFit="1"/>
      <protection/>
    </xf>
    <xf numFmtId="0" fontId="15" fillId="0" borderId="202" xfId="0" applyFont="1" applyFill="1" applyBorder="1" applyAlignment="1" applyProtection="1">
      <alignment horizontal="center" vertical="center" shrinkToFit="1"/>
      <protection/>
    </xf>
    <xf numFmtId="0" fontId="15" fillId="0" borderId="203" xfId="0" applyFont="1" applyFill="1" applyBorder="1" applyAlignment="1" applyProtection="1">
      <alignment horizontal="center" vertical="center" shrinkToFit="1"/>
      <protection/>
    </xf>
    <xf numFmtId="0" fontId="15" fillId="0" borderId="209" xfId="0" applyFont="1" applyFill="1" applyBorder="1" applyAlignment="1" applyProtection="1">
      <alignment horizontal="center" vertical="center" shrinkToFit="1"/>
      <protection/>
    </xf>
    <xf numFmtId="0" fontId="15" fillId="0" borderId="201" xfId="0" applyFont="1" applyFill="1" applyBorder="1" applyAlignment="1" applyProtection="1">
      <alignment horizontal="center" vertical="center" shrinkToFit="1"/>
      <protection/>
    </xf>
    <xf numFmtId="0" fontId="15" fillId="0" borderId="200" xfId="0" applyFont="1" applyFill="1" applyBorder="1" applyAlignment="1" applyProtection="1">
      <alignment horizontal="center" vertical="center" shrinkToFit="1"/>
      <protection/>
    </xf>
    <xf numFmtId="0" fontId="18" fillId="0" borderId="23" xfId="63" applyFont="1" applyBorder="1" applyAlignment="1">
      <alignment horizontal="left" vertical="center" shrinkToFit="1"/>
      <protection/>
    </xf>
    <xf numFmtId="0" fontId="23" fillId="35" borderId="225" xfId="62" applyFont="1" applyFill="1" applyBorder="1" applyAlignment="1" applyProtection="1">
      <alignment horizontal="center" vertical="center" wrapText="1"/>
      <protection locked="0"/>
    </xf>
    <xf numFmtId="0" fontId="23" fillId="35" borderId="25" xfId="62" applyFont="1" applyFill="1" applyBorder="1" applyAlignment="1" applyProtection="1">
      <alignment horizontal="center" vertical="center" wrapText="1"/>
      <protection locked="0"/>
    </xf>
    <xf numFmtId="0" fontId="23" fillId="35" borderId="226" xfId="62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 vertical="center"/>
      <protection/>
    </xf>
    <xf numFmtId="0" fontId="21" fillId="0" borderId="52" xfId="64" applyFont="1" applyFill="1" applyBorder="1" applyAlignment="1" applyProtection="1">
      <alignment horizontal="center" vertical="center" shrinkToFit="1"/>
      <protection locked="0"/>
    </xf>
    <xf numFmtId="0" fontId="21" fillId="0" borderId="53" xfId="64" applyFont="1" applyFill="1" applyBorder="1" applyAlignment="1" applyProtection="1">
      <alignment horizontal="center" vertical="center" shrinkToFit="1"/>
      <protection locked="0"/>
    </xf>
    <xf numFmtId="0" fontId="21" fillId="0" borderId="55" xfId="64" applyFont="1" applyFill="1" applyBorder="1" applyAlignment="1" applyProtection="1">
      <alignment horizontal="center" vertical="center" shrinkToFit="1"/>
      <protection locked="0"/>
    </xf>
    <xf numFmtId="0" fontId="22" fillId="35" borderId="161" xfId="64" applyFont="1" applyFill="1" applyBorder="1" applyAlignment="1">
      <alignment horizontal="center" vertical="center" wrapText="1"/>
      <protection/>
    </xf>
    <xf numFmtId="0" fontId="22" fillId="35" borderId="165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4ｸﾗﾌﾞﾕｰｽ関東大会2次試合結果" xfId="62"/>
    <cellStyle name="標準_23種リーグ案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56</xdr:row>
      <xdr:rowOff>171450</xdr:rowOff>
    </xdr:from>
    <xdr:to>
      <xdr:col>10</xdr:col>
      <xdr:colOff>133350</xdr:colOff>
      <xdr:row>61</xdr:row>
      <xdr:rowOff>85725</xdr:rowOff>
    </xdr:to>
    <xdr:sp>
      <xdr:nvSpPr>
        <xdr:cNvPr id="1" name="AutoShape 20"/>
        <xdr:cNvSpPr>
          <a:spLocks/>
        </xdr:cNvSpPr>
      </xdr:nvSpPr>
      <xdr:spPr>
        <a:xfrm>
          <a:off x="2019300" y="10344150"/>
          <a:ext cx="2000250" cy="781050"/>
        </a:xfrm>
        <a:prstGeom prst="wedgeRoundRectCallout">
          <a:avLst>
            <a:gd name="adj1" fmla="val -59314"/>
            <a:gd name="adj2" fmla="val -82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（１）設定日以外の日は、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直前の＜節＞で表示します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（２）１１月後半以降に行った場合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には＜最終節＞で表示します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44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1047750"/>
          <a:ext cx="4162425" cy="845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43</xdr:col>
      <xdr:colOff>0</xdr:colOff>
      <xdr:row>64</xdr:row>
      <xdr:rowOff>0</xdr:rowOff>
    </xdr:to>
    <xdr:sp>
      <xdr:nvSpPr>
        <xdr:cNvPr id="1" name="Line 2"/>
        <xdr:cNvSpPr>
          <a:spLocks/>
        </xdr:cNvSpPr>
      </xdr:nvSpPr>
      <xdr:spPr>
        <a:xfrm>
          <a:off x="771525" y="1047750"/>
          <a:ext cx="4162425" cy="845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9525</xdr:rowOff>
    </xdr:from>
    <xdr:to>
      <xdr:col>0</xdr:col>
      <xdr:colOff>1133475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11334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2</xdr:row>
      <xdr:rowOff>0</xdr:rowOff>
    </xdr:from>
    <xdr:to>
      <xdr:col>19</xdr:col>
      <xdr:colOff>0</xdr:colOff>
      <xdr:row>14</xdr:row>
      <xdr:rowOff>0</xdr:rowOff>
    </xdr:to>
    <xdr:sp>
      <xdr:nvSpPr>
        <xdr:cNvPr id="2" name="Line 6"/>
        <xdr:cNvSpPr>
          <a:spLocks/>
        </xdr:cNvSpPr>
      </xdr:nvSpPr>
      <xdr:spPr>
        <a:xfrm>
          <a:off x="1133475" y="685800"/>
          <a:ext cx="5667375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0</xdr:rowOff>
    </xdr:from>
    <xdr:to>
      <xdr:col>0</xdr:col>
      <xdr:colOff>1133475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11334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0</xdr:rowOff>
    </xdr:from>
    <xdr:to>
      <xdr:col>0</xdr:col>
      <xdr:colOff>1133475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11334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0</xdr:rowOff>
    </xdr:from>
    <xdr:to>
      <xdr:col>0</xdr:col>
      <xdr:colOff>1133475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11334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0</xdr:rowOff>
    </xdr:from>
    <xdr:to>
      <xdr:col>0</xdr:col>
      <xdr:colOff>1133475</xdr:colOff>
      <xdr:row>4</xdr:row>
      <xdr:rowOff>0</xdr:rowOff>
    </xdr:to>
    <xdr:sp>
      <xdr:nvSpPr>
        <xdr:cNvPr id="6" name="Line 10"/>
        <xdr:cNvSpPr>
          <a:spLocks/>
        </xdr:cNvSpPr>
      </xdr:nvSpPr>
      <xdr:spPr>
        <a:xfrm>
          <a:off x="11334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9525</xdr:rowOff>
    </xdr:from>
    <xdr:to>
      <xdr:col>0</xdr:col>
      <xdr:colOff>1133475</xdr:colOff>
      <xdr:row>4</xdr:row>
      <xdr:rowOff>9525</xdr:rowOff>
    </xdr:to>
    <xdr:sp>
      <xdr:nvSpPr>
        <xdr:cNvPr id="7" name="Line 11"/>
        <xdr:cNvSpPr>
          <a:spLocks/>
        </xdr:cNvSpPr>
      </xdr:nvSpPr>
      <xdr:spPr>
        <a:xfrm>
          <a:off x="11334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9525</xdr:rowOff>
    </xdr:from>
    <xdr:to>
      <xdr:col>0</xdr:col>
      <xdr:colOff>1133475</xdr:colOff>
      <xdr:row>4</xdr:row>
      <xdr:rowOff>9525</xdr:rowOff>
    </xdr:to>
    <xdr:sp>
      <xdr:nvSpPr>
        <xdr:cNvPr id="8" name="Line 12"/>
        <xdr:cNvSpPr>
          <a:spLocks/>
        </xdr:cNvSpPr>
      </xdr:nvSpPr>
      <xdr:spPr>
        <a:xfrm>
          <a:off x="113347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0" name="Line 14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1" name="Line 15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2" name="Line 16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3" name="Line 17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4" name="Line 18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5" name="Line 19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0</xdr:col>
      <xdr:colOff>1133475</xdr:colOff>
      <xdr:row>5</xdr:row>
      <xdr:rowOff>0</xdr:rowOff>
    </xdr:to>
    <xdr:sp>
      <xdr:nvSpPr>
        <xdr:cNvPr id="16" name="Line 20"/>
        <xdr:cNvSpPr>
          <a:spLocks/>
        </xdr:cNvSpPr>
      </xdr:nvSpPr>
      <xdr:spPr>
        <a:xfrm>
          <a:off x="113347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9525</xdr:rowOff>
    </xdr:from>
    <xdr:to>
      <xdr:col>0</xdr:col>
      <xdr:colOff>1133475</xdr:colOff>
      <xdr:row>5</xdr:row>
      <xdr:rowOff>9525</xdr:rowOff>
    </xdr:to>
    <xdr:sp>
      <xdr:nvSpPr>
        <xdr:cNvPr id="17" name="Line 21"/>
        <xdr:cNvSpPr>
          <a:spLocks/>
        </xdr:cNvSpPr>
      </xdr:nvSpPr>
      <xdr:spPr>
        <a:xfrm>
          <a:off x="11334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5</xdr:row>
      <xdr:rowOff>9525</xdr:rowOff>
    </xdr:from>
    <xdr:to>
      <xdr:col>0</xdr:col>
      <xdr:colOff>1133475</xdr:colOff>
      <xdr:row>5</xdr:row>
      <xdr:rowOff>9525</xdr:rowOff>
    </xdr:to>
    <xdr:sp>
      <xdr:nvSpPr>
        <xdr:cNvPr id="18" name="Line 22"/>
        <xdr:cNvSpPr>
          <a:spLocks/>
        </xdr:cNvSpPr>
      </xdr:nvSpPr>
      <xdr:spPr>
        <a:xfrm>
          <a:off x="113347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19" name="Line 23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0" name="Line 24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1" name="Line 25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2" name="Line 26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3" name="Line 27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4" name="Line 28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5" name="Line 29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0</xdr:rowOff>
    </xdr:from>
    <xdr:to>
      <xdr:col>0</xdr:col>
      <xdr:colOff>1133475</xdr:colOff>
      <xdr:row>6</xdr:row>
      <xdr:rowOff>0</xdr:rowOff>
    </xdr:to>
    <xdr:sp>
      <xdr:nvSpPr>
        <xdr:cNvPr id="26" name="Line 30"/>
        <xdr:cNvSpPr>
          <a:spLocks/>
        </xdr:cNvSpPr>
      </xdr:nvSpPr>
      <xdr:spPr>
        <a:xfrm>
          <a:off x="1133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9525</xdr:rowOff>
    </xdr:from>
    <xdr:to>
      <xdr:col>0</xdr:col>
      <xdr:colOff>1133475</xdr:colOff>
      <xdr:row>6</xdr:row>
      <xdr:rowOff>9525</xdr:rowOff>
    </xdr:to>
    <xdr:sp>
      <xdr:nvSpPr>
        <xdr:cNvPr id="27" name="Line 31"/>
        <xdr:cNvSpPr>
          <a:spLocks/>
        </xdr:cNvSpPr>
      </xdr:nvSpPr>
      <xdr:spPr>
        <a:xfrm>
          <a:off x="11334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6</xdr:row>
      <xdr:rowOff>9525</xdr:rowOff>
    </xdr:from>
    <xdr:to>
      <xdr:col>0</xdr:col>
      <xdr:colOff>1133475</xdr:colOff>
      <xdr:row>6</xdr:row>
      <xdr:rowOff>9525</xdr:rowOff>
    </xdr:to>
    <xdr:sp>
      <xdr:nvSpPr>
        <xdr:cNvPr id="28" name="Line 32"/>
        <xdr:cNvSpPr>
          <a:spLocks/>
        </xdr:cNvSpPr>
      </xdr:nvSpPr>
      <xdr:spPr>
        <a:xfrm>
          <a:off x="11334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29" name="Line 33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0" name="Line 34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1" name="Line 35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2" name="Line 36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3" name="Line 37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4" name="Line 38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5" name="Line 39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0</xdr:rowOff>
    </xdr:from>
    <xdr:to>
      <xdr:col>0</xdr:col>
      <xdr:colOff>1133475</xdr:colOff>
      <xdr:row>7</xdr:row>
      <xdr:rowOff>0</xdr:rowOff>
    </xdr:to>
    <xdr:sp>
      <xdr:nvSpPr>
        <xdr:cNvPr id="36" name="Line 40"/>
        <xdr:cNvSpPr>
          <a:spLocks/>
        </xdr:cNvSpPr>
      </xdr:nvSpPr>
      <xdr:spPr>
        <a:xfrm>
          <a:off x="11334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9525</xdr:rowOff>
    </xdr:from>
    <xdr:to>
      <xdr:col>0</xdr:col>
      <xdr:colOff>1133475</xdr:colOff>
      <xdr:row>7</xdr:row>
      <xdr:rowOff>9525</xdr:rowOff>
    </xdr:to>
    <xdr:sp>
      <xdr:nvSpPr>
        <xdr:cNvPr id="37" name="Line 41"/>
        <xdr:cNvSpPr>
          <a:spLocks/>
        </xdr:cNvSpPr>
      </xdr:nvSpPr>
      <xdr:spPr>
        <a:xfrm>
          <a:off x="11334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7</xdr:row>
      <xdr:rowOff>9525</xdr:rowOff>
    </xdr:from>
    <xdr:to>
      <xdr:col>0</xdr:col>
      <xdr:colOff>1133475</xdr:colOff>
      <xdr:row>7</xdr:row>
      <xdr:rowOff>9525</xdr:rowOff>
    </xdr:to>
    <xdr:sp>
      <xdr:nvSpPr>
        <xdr:cNvPr id="38" name="Line 42"/>
        <xdr:cNvSpPr>
          <a:spLocks/>
        </xdr:cNvSpPr>
      </xdr:nvSpPr>
      <xdr:spPr>
        <a:xfrm>
          <a:off x="11334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39" name="Line 43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0" name="Line 44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1" name="Line 45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2" name="Line 46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3" name="Line 47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4" name="Line 48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5" name="Line 49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0</xdr:rowOff>
    </xdr:from>
    <xdr:to>
      <xdr:col>0</xdr:col>
      <xdr:colOff>1133475</xdr:colOff>
      <xdr:row>8</xdr:row>
      <xdr:rowOff>0</xdr:rowOff>
    </xdr:to>
    <xdr:sp>
      <xdr:nvSpPr>
        <xdr:cNvPr id="46" name="Line 50"/>
        <xdr:cNvSpPr>
          <a:spLocks/>
        </xdr:cNvSpPr>
      </xdr:nvSpPr>
      <xdr:spPr>
        <a:xfrm>
          <a:off x="11334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9525</xdr:rowOff>
    </xdr:from>
    <xdr:to>
      <xdr:col>0</xdr:col>
      <xdr:colOff>1133475</xdr:colOff>
      <xdr:row>8</xdr:row>
      <xdr:rowOff>9525</xdr:rowOff>
    </xdr:to>
    <xdr:sp>
      <xdr:nvSpPr>
        <xdr:cNvPr id="47" name="Line 51"/>
        <xdr:cNvSpPr>
          <a:spLocks/>
        </xdr:cNvSpPr>
      </xdr:nvSpPr>
      <xdr:spPr>
        <a:xfrm>
          <a:off x="113347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8</xdr:row>
      <xdr:rowOff>9525</xdr:rowOff>
    </xdr:from>
    <xdr:to>
      <xdr:col>0</xdr:col>
      <xdr:colOff>1133475</xdr:colOff>
      <xdr:row>8</xdr:row>
      <xdr:rowOff>9525</xdr:rowOff>
    </xdr:to>
    <xdr:sp>
      <xdr:nvSpPr>
        <xdr:cNvPr id="48" name="Line 52"/>
        <xdr:cNvSpPr>
          <a:spLocks/>
        </xdr:cNvSpPr>
      </xdr:nvSpPr>
      <xdr:spPr>
        <a:xfrm>
          <a:off x="113347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49" name="Line 53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0" name="Line 54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1" name="Line 55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2" name="Line 56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3" name="Line 57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4" name="Line 58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5" name="Line 59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0</xdr:rowOff>
    </xdr:from>
    <xdr:to>
      <xdr:col>0</xdr:col>
      <xdr:colOff>1133475</xdr:colOff>
      <xdr:row>9</xdr:row>
      <xdr:rowOff>0</xdr:rowOff>
    </xdr:to>
    <xdr:sp>
      <xdr:nvSpPr>
        <xdr:cNvPr id="56" name="Line 60"/>
        <xdr:cNvSpPr>
          <a:spLocks/>
        </xdr:cNvSpPr>
      </xdr:nvSpPr>
      <xdr:spPr>
        <a:xfrm>
          <a:off x="11334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9525</xdr:rowOff>
    </xdr:from>
    <xdr:to>
      <xdr:col>0</xdr:col>
      <xdr:colOff>1133475</xdr:colOff>
      <xdr:row>9</xdr:row>
      <xdr:rowOff>9525</xdr:rowOff>
    </xdr:to>
    <xdr:sp>
      <xdr:nvSpPr>
        <xdr:cNvPr id="57" name="Line 61"/>
        <xdr:cNvSpPr>
          <a:spLocks/>
        </xdr:cNvSpPr>
      </xdr:nvSpPr>
      <xdr:spPr>
        <a:xfrm>
          <a:off x="11334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9</xdr:row>
      <xdr:rowOff>9525</xdr:rowOff>
    </xdr:from>
    <xdr:to>
      <xdr:col>0</xdr:col>
      <xdr:colOff>1133475</xdr:colOff>
      <xdr:row>9</xdr:row>
      <xdr:rowOff>9525</xdr:rowOff>
    </xdr:to>
    <xdr:sp>
      <xdr:nvSpPr>
        <xdr:cNvPr id="58" name="Line 62"/>
        <xdr:cNvSpPr>
          <a:spLocks/>
        </xdr:cNvSpPr>
      </xdr:nvSpPr>
      <xdr:spPr>
        <a:xfrm>
          <a:off x="11334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59" name="Line 63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0" name="Line 64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1" name="Line 65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2" name="Line 66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3" name="Line 67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4" name="Line 68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5" name="Line 69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0</xdr:rowOff>
    </xdr:from>
    <xdr:to>
      <xdr:col>0</xdr:col>
      <xdr:colOff>1133475</xdr:colOff>
      <xdr:row>10</xdr:row>
      <xdr:rowOff>0</xdr:rowOff>
    </xdr:to>
    <xdr:sp>
      <xdr:nvSpPr>
        <xdr:cNvPr id="66" name="Line 70"/>
        <xdr:cNvSpPr>
          <a:spLocks/>
        </xdr:cNvSpPr>
      </xdr:nvSpPr>
      <xdr:spPr>
        <a:xfrm>
          <a:off x="11334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9525</xdr:rowOff>
    </xdr:from>
    <xdr:to>
      <xdr:col>0</xdr:col>
      <xdr:colOff>1133475</xdr:colOff>
      <xdr:row>10</xdr:row>
      <xdr:rowOff>9525</xdr:rowOff>
    </xdr:to>
    <xdr:sp>
      <xdr:nvSpPr>
        <xdr:cNvPr id="67" name="Line 71"/>
        <xdr:cNvSpPr>
          <a:spLocks/>
        </xdr:cNvSpPr>
      </xdr:nvSpPr>
      <xdr:spPr>
        <a:xfrm>
          <a:off x="11334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10</xdr:row>
      <xdr:rowOff>9525</xdr:rowOff>
    </xdr:from>
    <xdr:to>
      <xdr:col>0</xdr:col>
      <xdr:colOff>1133475</xdr:colOff>
      <xdr:row>10</xdr:row>
      <xdr:rowOff>9525</xdr:rowOff>
    </xdr:to>
    <xdr:sp>
      <xdr:nvSpPr>
        <xdr:cNvPr id="68" name="Line 72"/>
        <xdr:cNvSpPr>
          <a:spLocks/>
        </xdr:cNvSpPr>
      </xdr:nvSpPr>
      <xdr:spPr>
        <a:xfrm>
          <a:off x="11334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69" name="Line 73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0" name="Line 74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1" name="Line 75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2" name="Line 76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3" name="Line 77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4" name="Line 78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5" name="Line 79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0</xdr:rowOff>
    </xdr:from>
    <xdr:to>
      <xdr:col>0</xdr:col>
      <xdr:colOff>1133475</xdr:colOff>
      <xdr:row>11</xdr:row>
      <xdr:rowOff>0</xdr:rowOff>
    </xdr:to>
    <xdr:sp>
      <xdr:nvSpPr>
        <xdr:cNvPr id="76" name="Line 80"/>
        <xdr:cNvSpPr>
          <a:spLocks/>
        </xdr:cNvSpPr>
      </xdr:nvSpPr>
      <xdr:spPr>
        <a:xfrm>
          <a:off x="1133475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9525</xdr:rowOff>
    </xdr:from>
    <xdr:to>
      <xdr:col>0</xdr:col>
      <xdr:colOff>1133475</xdr:colOff>
      <xdr:row>11</xdr:row>
      <xdr:rowOff>9525</xdr:rowOff>
    </xdr:to>
    <xdr:sp>
      <xdr:nvSpPr>
        <xdr:cNvPr id="77" name="Line 81"/>
        <xdr:cNvSpPr>
          <a:spLocks/>
        </xdr:cNvSpPr>
      </xdr:nvSpPr>
      <xdr:spPr>
        <a:xfrm>
          <a:off x="11334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11</xdr:row>
      <xdr:rowOff>9525</xdr:rowOff>
    </xdr:from>
    <xdr:to>
      <xdr:col>0</xdr:col>
      <xdr:colOff>1133475</xdr:colOff>
      <xdr:row>11</xdr:row>
      <xdr:rowOff>9525</xdr:rowOff>
    </xdr:to>
    <xdr:sp>
      <xdr:nvSpPr>
        <xdr:cNvPr id="78" name="Line 82"/>
        <xdr:cNvSpPr>
          <a:spLocks/>
        </xdr:cNvSpPr>
      </xdr:nvSpPr>
      <xdr:spPr>
        <a:xfrm>
          <a:off x="11334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79" name="Line 83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0" name="Line 84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1" name="Line 85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2" name="Line 86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3" name="Line 87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4" name="Line 88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5" name="Line 89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86" name="Line 90"/>
        <xdr:cNvSpPr>
          <a:spLocks/>
        </xdr:cNvSpPr>
      </xdr:nvSpPr>
      <xdr:spPr>
        <a:xfrm>
          <a:off x="11334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9525</xdr:rowOff>
    </xdr:from>
    <xdr:to>
      <xdr:col>0</xdr:col>
      <xdr:colOff>1133475</xdr:colOff>
      <xdr:row>12</xdr:row>
      <xdr:rowOff>9525</xdr:rowOff>
    </xdr:to>
    <xdr:sp>
      <xdr:nvSpPr>
        <xdr:cNvPr id="87" name="Line 91"/>
        <xdr:cNvSpPr>
          <a:spLocks/>
        </xdr:cNvSpPr>
      </xdr:nvSpPr>
      <xdr:spPr>
        <a:xfrm>
          <a:off x="11334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12</xdr:row>
      <xdr:rowOff>9525</xdr:rowOff>
    </xdr:from>
    <xdr:to>
      <xdr:col>0</xdr:col>
      <xdr:colOff>1133475</xdr:colOff>
      <xdr:row>12</xdr:row>
      <xdr:rowOff>9525</xdr:rowOff>
    </xdr:to>
    <xdr:sp>
      <xdr:nvSpPr>
        <xdr:cNvPr id="88" name="Line 92"/>
        <xdr:cNvSpPr>
          <a:spLocks/>
        </xdr:cNvSpPr>
      </xdr:nvSpPr>
      <xdr:spPr>
        <a:xfrm>
          <a:off x="11334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89" name="Line 93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0" name="Line 94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1" name="Line 95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2" name="Line 96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3" name="Line 97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4" name="Line 98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5" name="Line 99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0</xdr:rowOff>
    </xdr:from>
    <xdr:to>
      <xdr:col>0</xdr:col>
      <xdr:colOff>1133475</xdr:colOff>
      <xdr:row>13</xdr:row>
      <xdr:rowOff>0</xdr:rowOff>
    </xdr:to>
    <xdr:sp>
      <xdr:nvSpPr>
        <xdr:cNvPr id="96" name="Line 100"/>
        <xdr:cNvSpPr>
          <a:spLocks/>
        </xdr:cNvSpPr>
      </xdr:nvSpPr>
      <xdr:spPr>
        <a:xfrm>
          <a:off x="113347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9525</xdr:rowOff>
    </xdr:from>
    <xdr:to>
      <xdr:col>0</xdr:col>
      <xdr:colOff>1133475</xdr:colOff>
      <xdr:row>13</xdr:row>
      <xdr:rowOff>9525</xdr:rowOff>
    </xdr:to>
    <xdr:sp>
      <xdr:nvSpPr>
        <xdr:cNvPr id="97" name="Line 101"/>
        <xdr:cNvSpPr>
          <a:spLocks/>
        </xdr:cNvSpPr>
      </xdr:nvSpPr>
      <xdr:spPr>
        <a:xfrm>
          <a:off x="11334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13</xdr:row>
      <xdr:rowOff>9525</xdr:rowOff>
    </xdr:from>
    <xdr:to>
      <xdr:col>0</xdr:col>
      <xdr:colOff>1133475</xdr:colOff>
      <xdr:row>13</xdr:row>
      <xdr:rowOff>9525</xdr:rowOff>
    </xdr:to>
    <xdr:sp>
      <xdr:nvSpPr>
        <xdr:cNvPr id="98" name="Line 102"/>
        <xdr:cNvSpPr>
          <a:spLocks/>
        </xdr:cNvSpPr>
      </xdr:nvSpPr>
      <xdr:spPr>
        <a:xfrm>
          <a:off x="11334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99" name="Line 10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0" name="Line 10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1" name="Line 10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2" name="Line 10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3" name="Line 10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4" name="Line 10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5" name="Line 10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6" name="Line 11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7" name="Line 14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8" name="Line 14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09" name="Line 14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0" name="Line 14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1" name="Line 14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2" name="Line 14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3" name="Line 14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4" name="Line 15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5" name="Line 151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6" name="Line 152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7" name="Line 15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8" name="Line 15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19" name="Line 15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0" name="Line 15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1" name="Line 15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2" name="Line 15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3" name="Line 15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4" name="Line 16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5" name="Line 161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6" name="Line 162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7" name="Line 16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8" name="Line 16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29" name="Line 16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0" name="Line 16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1" name="Line 16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2" name="Line 16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3" name="Line 16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4" name="Line 17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5" name="Line 171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6" name="Line 172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7" name="Line 17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8" name="Line 17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39" name="Line 17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0" name="Line 17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1" name="Line 17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2" name="Line 17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3" name="Line 17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4" name="Line 18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5" name="Line 181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6" name="Line 182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7" name="Line 183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8" name="Line 184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49" name="Line 185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50" name="Line 186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51" name="Line 187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52" name="Line 188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53" name="Line 189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0</xdr:rowOff>
    </xdr:from>
    <xdr:to>
      <xdr:col>0</xdr:col>
      <xdr:colOff>1133475</xdr:colOff>
      <xdr:row>14</xdr:row>
      <xdr:rowOff>0</xdr:rowOff>
    </xdr:to>
    <xdr:sp>
      <xdr:nvSpPr>
        <xdr:cNvPr id="154" name="Line 190"/>
        <xdr:cNvSpPr>
          <a:spLocks/>
        </xdr:cNvSpPr>
      </xdr:nvSpPr>
      <xdr:spPr>
        <a:xfrm>
          <a:off x="11334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9525</xdr:rowOff>
    </xdr:from>
    <xdr:to>
      <xdr:col>0</xdr:col>
      <xdr:colOff>1133475</xdr:colOff>
      <xdr:row>14</xdr:row>
      <xdr:rowOff>9525</xdr:rowOff>
    </xdr:to>
    <xdr:sp>
      <xdr:nvSpPr>
        <xdr:cNvPr id="155" name="Line 191"/>
        <xdr:cNvSpPr>
          <a:spLocks/>
        </xdr:cNvSpPr>
      </xdr:nvSpPr>
      <xdr:spPr>
        <a:xfrm>
          <a:off x="113347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14</xdr:row>
      <xdr:rowOff>9525</xdr:rowOff>
    </xdr:from>
    <xdr:to>
      <xdr:col>0</xdr:col>
      <xdr:colOff>1133475</xdr:colOff>
      <xdr:row>14</xdr:row>
      <xdr:rowOff>9525</xdr:rowOff>
    </xdr:to>
    <xdr:sp>
      <xdr:nvSpPr>
        <xdr:cNvPr id="156" name="Line 192"/>
        <xdr:cNvSpPr>
          <a:spLocks/>
        </xdr:cNvSpPr>
      </xdr:nvSpPr>
      <xdr:spPr>
        <a:xfrm>
          <a:off x="113347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15</xdr:row>
      <xdr:rowOff>0</xdr:rowOff>
    </xdr:from>
    <xdr:to>
      <xdr:col>0</xdr:col>
      <xdr:colOff>1133475</xdr:colOff>
      <xdr:row>15</xdr:row>
      <xdr:rowOff>0</xdr:rowOff>
    </xdr:to>
    <xdr:sp>
      <xdr:nvSpPr>
        <xdr:cNvPr id="157" name="Line 193"/>
        <xdr:cNvSpPr>
          <a:spLocks/>
        </xdr:cNvSpPr>
      </xdr:nvSpPr>
      <xdr:spPr>
        <a:xfrm>
          <a:off x="11334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15</xdr:row>
      <xdr:rowOff>0</xdr:rowOff>
    </xdr:from>
    <xdr:to>
      <xdr:col>0</xdr:col>
      <xdr:colOff>1133475</xdr:colOff>
      <xdr:row>15</xdr:row>
      <xdr:rowOff>0</xdr:rowOff>
    </xdr:to>
    <xdr:sp>
      <xdr:nvSpPr>
        <xdr:cNvPr id="158" name="Line 194"/>
        <xdr:cNvSpPr>
          <a:spLocks/>
        </xdr:cNvSpPr>
      </xdr:nvSpPr>
      <xdr:spPr>
        <a:xfrm>
          <a:off x="11334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15</xdr:row>
      <xdr:rowOff>0</xdr:rowOff>
    </xdr:from>
    <xdr:to>
      <xdr:col>0</xdr:col>
      <xdr:colOff>1133475</xdr:colOff>
      <xdr:row>15</xdr:row>
      <xdr:rowOff>0</xdr:rowOff>
    </xdr:to>
    <xdr:sp>
      <xdr:nvSpPr>
        <xdr:cNvPr id="159" name="Line 195"/>
        <xdr:cNvSpPr>
          <a:spLocks/>
        </xdr:cNvSpPr>
      </xdr:nvSpPr>
      <xdr:spPr>
        <a:xfrm>
          <a:off x="11334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1133475</xdr:colOff>
      <xdr:row>15</xdr:row>
      <xdr:rowOff>0</xdr:rowOff>
    </xdr:from>
    <xdr:to>
      <xdr:col>0</xdr:col>
      <xdr:colOff>1133475</xdr:colOff>
      <xdr:row>15</xdr:row>
      <xdr:rowOff>0</xdr:rowOff>
    </xdr:to>
    <xdr:sp>
      <xdr:nvSpPr>
        <xdr:cNvPr id="160" name="Line 196"/>
        <xdr:cNvSpPr>
          <a:spLocks/>
        </xdr:cNvSpPr>
      </xdr:nvSpPr>
      <xdr:spPr>
        <a:xfrm>
          <a:off x="11334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19050</xdr:rowOff>
    </xdr:from>
    <xdr:to>
      <xdr:col>7</xdr:col>
      <xdr:colOff>647700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143500" y="647700"/>
          <a:ext cx="619125" cy="180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BH7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6.00390625" style="0" customWidth="1"/>
    <col min="3" max="4" width="5.375" style="0" customWidth="1"/>
    <col min="5" max="5" width="4.375" style="0" customWidth="1"/>
    <col min="6" max="6" width="5.00390625" style="0" customWidth="1"/>
    <col min="7" max="7" width="6.625" style="0" customWidth="1"/>
    <col min="8" max="8" width="4.375" style="0" customWidth="1"/>
    <col min="9" max="9" width="5.00390625" style="0" customWidth="1"/>
    <col min="10" max="10" width="6.625" style="0" customWidth="1"/>
    <col min="11" max="11" width="4.375" style="0" customWidth="1"/>
    <col min="12" max="12" width="5.00390625" style="0" customWidth="1"/>
    <col min="13" max="13" width="6.625" style="0" customWidth="1"/>
    <col min="14" max="14" width="4.375" style="0" customWidth="1"/>
    <col min="15" max="15" width="5.00390625" style="0" customWidth="1"/>
    <col min="16" max="16" width="6.75390625" style="0" customWidth="1"/>
    <col min="17" max="17" width="4.375" style="0" customWidth="1"/>
    <col min="18" max="18" width="5.00390625" style="0" customWidth="1"/>
    <col min="19" max="19" width="6.625" style="0" customWidth="1"/>
    <col min="20" max="20" width="4.375" style="0" customWidth="1"/>
    <col min="21" max="21" width="5.00390625" style="0" customWidth="1"/>
    <col min="22" max="22" width="6.625" style="0" customWidth="1"/>
    <col min="23" max="23" width="4.375" style="0" customWidth="1"/>
    <col min="24" max="24" width="5.00390625" style="0" customWidth="1"/>
    <col min="25" max="25" width="6.625" style="0" customWidth="1"/>
    <col min="26" max="26" width="4.375" style="0" customWidth="1"/>
    <col min="27" max="27" width="5.00390625" style="0" customWidth="1"/>
    <col min="28" max="28" width="6.625" style="0" customWidth="1"/>
    <col min="29" max="29" width="4.25390625" style="0" customWidth="1"/>
    <col min="30" max="31" width="4.875" style="0" customWidth="1"/>
    <col min="32" max="37" width="4.25390625" style="0" customWidth="1"/>
    <col min="38" max="39" width="4.375" style="0" customWidth="1"/>
    <col min="40" max="40" width="13.75390625" style="0" customWidth="1"/>
  </cols>
  <sheetData>
    <row r="1" spans="1:40" ht="18.75" thickBot="1" thickTop="1">
      <c r="A1" s="183" t="s">
        <v>38</v>
      </c>
      <c r="B1" s="130"/>
      <c r="C1" s="130"/>
      <c r="D1" s="130"/>
      <c r="E1" s="130"/>
      <c r="I1" s="113" t="s">
        <v>4</v>
      </c>
      <c r="J1" s="220">
        <v>2014</v>
      </c>
      <c r="K1" s="9"/>
      <c r="M1" s="113" t="s">
        <v>130</v>
      </c>
      <c r="N1" s="380">
        <v>6</v>
      </c>
      <c r="O1" s="10"/>
      <c r="R1" s="9"/>
      <c r="T1" s="212"/>
      <c r="U1" s="9"/>
      <c r="V1" s="213" t="s">
        <v>131</v>
      </c>
      <c r="W1" s="214"/>
      <c r="X1" s="215" t="s">
        <v>125</v>
      </c>
      <c r="Y1" s="214"/>
      <c r="Z1" s="240"/>
      <c r="AA1" s="214"/>
      <c r="AB1" s="219" t="s">
        <v>127</v>
      </c>
      <c r="AC1" s="9"/>
      <c r="AD1" s="9"/>
      <c r="AE1" s="9"/>
      <c r="AF1" s="9"/>
      <c r="AG1" s="9"/>
      <c r="AH1" s="9"/>
      <c r="AI1" s="9"/>
      <c r="AJ1" s="96"/>
      <c r="AK1" s="96"/>
      <c r="AL1" s="96"/>
      <c r="AM1" s="9"/>
      <c r="AN1" s="1"/>
    </row>
    <row r="2" spans="1:60" ht="17.25" customHeight="1" thickBot="1" thickTop="1">
      <c r="A2" s="186"/>
      <c r="B2" s="112" t="s">
        <v>83</v>
      </c>
      <c r="C2" s="21"/>
      <c r="D2" s="21"/>
      <c r="E2" s="21"/>
      <c r="F2" s="428" t="s">
        <v>179</v>
      </c>
      <c r="G2" s="429"/>
      <c r="H2" s="185" t="s">
        <v>115</v>
      </c>
      <c r="I2" s="187"/>
      <c r="J2" s="188"/>
      <c r="K2" s="188"/>
      <c r="L2" s="187"/>
      <c r="M2" s="189"/>
      <c r="N2" s="189"/>
      <c r="O2" s="189"/>
      <c r="P2" s="184"/>
      <c r="Q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90"/>
      <c r="AG2" s="190"/>
      <c r="AH2" s="191"/>
      <c r="AI2" s="191"/>
      <c r="AJ2" s="191"/>
      <c r="AK2" s="191"/>
      <c r="AL2" s="191"/>
      <c r="AM2" s="191"/>
      <c r="AO2" s="191"/>
      <c r="AP2" s="191"/>
      <c r="AQ2" s="191"/>
      <c r="AR2" s="191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</row>
    <row r="3" spans="2:43" ht="15.75" thickBot="1" thickTop="1">
      <c r="B3" s="112"/>
      <c r="D3" s="182" t="s">
        <v>82</v>
      </c>
      <c r="E3" s="404">
        <v>1</v>
      </c>
      <c r="F3" s="423"/>
      <c r="G3" s="424"/>
      <c r="H3" s="404">
        <v>2</v>
      </c>
      <c r="I3" s="405"/>
      <c r="J3" s="406"/>
      <c r="K3" s="404">
        <v>3</v>
      </c>
      <c r="L3" s="405"/>
      <c r="M3" s="406"/>
      <c r="N3" s="404">
        <v>4</v>
      </c>
      <c r="O3" s="405"/>
      <c r="P3" s="406"/>
      <c r="Q3" s="404">
        <v>5</v>
      </c>
      <c r="R3" s="405"/>
      <c r="S3" s="406"/>
      <c r="T3" s="404">
        <v>6</v>
      </c>
      <c r="U3" s="405"/>
      <c r="V3" s="406"/>
      <c r="AN3" s="208"/>
      <c r="AP3">
        <v>121</v>
      </c>
      <c r="AQ3">
        <v>122</v>
      </c>
    </row>
    <row r="4" spans="2:43" ht="21" customHeight="1" thickBot="1" thickTop="1">
      <c r="B4" s="112"/>
      <c r="D4" s="182" t="s">
        <v>81</v>
      </c>
      <c r="E4" s="407" t="s">
        <v>188</v>
      </c>
      <c r="F4" s="408"/>
      <c r="G4" s="409"/>
      <c r="H4" s="407" t="s">
        <v>190</v>
      </c>
      <c r="I4" s="408"/>
      <c r="J4" s="409"/>
      <c r="K4" s="407" t="s">
        <v>191</v>
      </c>
      <c r="L4" s="408"/>
      <c r="M4" s="409"/>
      <c r="N4" s="407" t="s">
        <v>193</v>
      </c>
      <c r="O4" s="408"/>
      <c r="P4" s="409"/>
      <c r="Q4" s="407" t="s">
        <v>205</v>
      </c>
      <c r="R4" s="408"/>
      <c r="S4" s="409"/>
      <c r="T4" s="407" t="s">
        <v>195</v>
      </c>
      <c r="U4" s="408"/>
      <c r="V4" s="409"/>
      <c r="AH4" s="175">
        <v>5</v>
      </c>
      <c r="AJ4" s="200">
        <v>1</v>
      </c>
      <c r="AK4" s="203" t="str">
        <f>IF(E4="",AJ4,E4)</f>
        <v>松任中学校</v>
      </c>
      <c r="AL4" s="206"/>
      <c r="AM4" s="206"/>
      <c r="AN4" s="176" t="str">
        <f>IF(E5="",AJ4,E5)</f>
        <v>松任中</v>
      </c>
      <c r="AP4">
        <v>131</v>
      </c>
      <c r="AQ4">
        <v>132</v>
      </c>
    </row>
    <row r="5" spans="2:43" ht="21" customHeight="1" thickBot="1" thickTop="1">
      <c r="B5" s="112"/>
      <c r="D5" s="182" t="s">
        <v>128</v>
      </c>
      <c r="E5" s="407" t="s">
        <v>189</v>
      </c>
      <c r="F5" s="408"/>
      <c r="G5" s="409"/>
      <c r="H5" s="407" t="s">
        <v>190</v>
      </c>
      <c r="I5" s="408"/>
      <c r="J5" s="409"/>
      <c r="K5" s="407" t="s">
        <v>192</v>
      </c>
      <c r="L5" s="408"/>
      <c r="M5" s="409"/>
      <c r="N5" s="407" t="s">
        <v>194</v>
      </c>
      <c r="O5" s="408"/>
      <c r="P5" s="409"/>
      <c r="Q5" s="407" t="s">
        <v>206</v>
      </c>
      <c r="R5" s="408"/>
      <c r="S5" s="409"/>
      <c r="T5" s="407" t="s">
        <v>196</v>
      </c>
      <c r="U5" s="408"/>
      <c r="V5" s="409"/>
      <c r="AH5" s="180">
        <v>6</v>
      </c>
      <c r="AJ5" s="201">
        <v>2</v>
      </c>
      <c r="AK5" s="204" t="str">
        <f>IF(H4="",AJ5,H4)</f>
        <v>ＦＣ小松</v>
      </c>
      <c r="AL5" s="207"/>
      <c r="AM5" s="172"/>
      <c r="AN5" s="176" t="str">
        <f>IF(H5="",AJ5,H5)</f>
        <v>ＦＣ小松</v>
      </c>
      <c r="AP5">
        <v>141</v>
      </c>
      <c r="AQ5">
        <v>142</v>
      </c>
    </row>
    <row r="6" spans="2:43" ht="15" thickTop="1">
      <c r="B6" s="112" t="s">
        <v>104</v>
      </c>
      <c r="E6" s="178"/>
      <c r="F6" s="178"/>
      <c r="G6" s="178"/>
      <c r="AJ6" s="201">
        <v>3</v>
      </c>
      <c r="AK6" s="204" t="str">
        <f>IF(K4="",AJ6,K4)</f>
        <v>河北台ＳＣ</v>
      </c>
      <c r="AL6" s="207"/>
      <c r="AM6" s="172"/>
      <c r="AN6" s="176" t="str">
        <f>IF(K5="",AJ6,K5)</f>
        <v>河北台</v>
      </c>
      <c r="AP6">
        <v>151</v>
      </c>
      <c r="AQ6">
        <v>152</v>
      </c>
    </row>
    <row r="7" spans="2:43" ht="14.25">
      <c r="B7" s="112"/>
      <c r="C7" s="112" t="s">
        <v>105</v>
      </c>
      <c r="E7" s="178"/>
      <c r="F7" s="178"/>
      <c r="G7" s="178"/>
      <c r="AJ7" s="201">
        <v>4</v>
      </c>
      <c r="AK7" s="204" t="str">
        <f>IF(N4="",AJ7,N4)</f>
        <v>FC.SOUTHERN</v>
      </c>
      <c r="AL7" s="207"/>
      <c r="AM7" s="172"/>
      <c r="AN7" s="176" t="str">
        <f>IF(N5="",AJ7,N5)</f>
        <v>サザン</v>
      </c>
      <c r="AP7">
        <f>IF($N$1=5,"",161)</f>
        <v>161</v>
      </c>
      <c r="AQ7">
        <f>IF($N$1=5,"",162)</f>
        <v>162</v>
      </c>
    </row>
    <row r="8" spans="2:43" ht="14.25">
      <c r="B8" s="112" t="s">
        <v>124</v>
      </c>
      <c r="E8" s="178"/>
      <c r="F8" s="178"/>
      <c r="G8" s="178"/>
      <c r="AJ8" s="201">
        <v>5</v>
      </c>
      <c r="AK8" s="204" t="str">
        <f>IF(Q4="",AJ8,Q4)</f>
        <v>根上中学校</v>
      </c>
      <c r="AL8" s="207"/>
      <c r="AM8" s="172"/>
      <c r="AN8" s="176" t="str">
        <f>IF(Q5="",AJ8,Q5)</f>
        <v>根上中</v>
      </c>
      <c r="AP8">
        <v>231</v>
      </c>
      <c r="AQ8">
        <v>232</v>
      </c>
    </row>
    <row r="9" spans="3:43" ht="13.5">
      <c r="C9" t="s">
        <v>99</v>
      </c>
      <c r="R9" s="182" t="s">
        <v>98</v>
      </c>
      <c r="S9" t="s">
        <v>173</v>
      </c>
      <c r="AJ9" s="202">
        <v>6</v>
      </c>
      <c r="AK9" s="205" t="str">
        <f>IF(T4="",AJ9,T4)</f>
        <v>ＦＣ．ＴＯＮ</v>
      </c>
      <c r="AL9" s="171"/>
      <c r="AM9" s="348"/>
      <c r="AN9" s="176" t="str">
        <f>IF(T5="",AJ9,T5)</f>
        <v>ＴＯＮ</v>
      </c>
      <c r="AP9">
        <v>241</v>
      </c>
      <c r="AQ9">
        <v>242</v>
      </c>
    </row>
    <row r="10" spans="3:43" ht="14.25">
      <c r="C10" s="112" t="s">
        <v>155</v>
      </c>
      <c r="AJ10" s="206"/>
      <c r="AK10" s="206"/>
      <c r="AL10" s="206"/>
      <c r="AM10" s="347"/>
      <c r="AN10" s="176"/>
      <c r="AP10">
        <v>251</v>
      </c>
      <c r="AQ10">
        <v>252</v>
      </c>
    </row>
    <row r="11" spans="2:43" ht="14.25">
      <c r="B11" s="112" t="s">
        <v>153</v>
      </c>
      <c r="C11" s="112"/>
      <c r="AJ11" s="207"/>
      <c r="AK11" s="207"/>
      <c r="AL11" s="207"/>
      <c r="AM11" s="172"/>
      <c r="AN11" s="176"/>
      <c r="AP11">
        <f>IF($N$1=5,"",261)</f>
        <v>261</v>
      </c>
      <c r="AQ11">
        <f>IF($N$1=5,"",262)</f>
        <v>262</v>
      </c>
    </row>
    <row r="12" spans="3:43" ht="13.5">
      <c r="C12" s="182"/>
      <c r="AF12" s="248" t="s">
        <v>175</v>
      </c>
      <c r="AN12" s="176" t="s">
        <v>174</v>
      </c>
      <c r="AP12">
        <v>341</v>
      </c>
      <c r="AQ12">
        <v>342</v>
      </c>
    </row>
    <row r="13" spans="2:43" ht="15" thickBot="1">
      <c r="B13" s="112" t="s">
        <v>103</v>
      </c>
      <c r="G13" s="112" t="s">
        <v>86</v>
      </c>
      <c r="M13" s="112" t="s">
        <v>87</v>
      </c>
      <c r="P13">
        <v>4</v>
      </c>
      <c r="Q13">
        <v>5</v>
      </c>
      <c r="R13">
        <v>6</v>
      </c>
      <c r="S13">
        <v>7</v>
      </c>
      <c r="T13">
        <v>8</v>
      </c>
      <c r="U13">
        <v>9</v>
      </c>
      <c r="V13">
        <v>10</v>
      </c>
      <c r="W13">
        <v>11</v>
      </c>
      <c r="X13">
        <v>12</v>
      </c>
      <c r="Y13">
        <v>13</v>
      </c>
      <c r="Z13">
        <v>14</v>
      </c>
      <c r="AA13">
        <v>15</v>
      </c>
      <c r="AB13">
        <v>16</v>
      </c>
      <c r="AC13">
        <v>17</v>
      </c>
      <c r="AD13">
        <v>18</v>
      </c>
      <c r="AE13">
        <v>19</v>
      </c>
      <c r="AF13">
        <v>20</v>
      </c>
      <c r="AG13">
        <v>21</v>
      </c>
      <c r="AH13">
        <v>22</v>
      </c>
      <c r="AI13">
        <v>23</v>
      </c>
      <c r="AN13" s="176" t="s">
        <v>183</v>
      </c>
      <c r="AP13">
        <v>351</v>
      </c>
      <c r="AQ13">
        <v>352</v>
      </c>
    </row>
    <row r="14" spans="2:43" ht="15" thickBot="1" thickTop="1">
      <c r="B14" s="438" t="s">
        <v>33</v>
      </c>
      <c r="C14" s="440" t="s">
        <v>34</v>
      </c>
      <c r="D14" s="432" t="s">
        <v>80</v>
      </c>
      <c r="E14" s="433"/>
      <c r="G14" s="417" t="s">
        <v>35</v>
      </c>
      <c r="H14" s="418"/>
      <c r="I14" s="419"/>
      <c r="J14" s="417" t="s">
        <v>68</v>
      </c>
      <c r="K14" s="419"/>
      <c r="N14" s="410" t="s">
        <v>126</v>
      </c>
      <c r="O14" s="411"/>
      <c r="Q14" s="410" t="s">
        <v>126</v>
      </c>
      <c r="R14" s="411"/>
      <c r="T14" s="410" t="s">
        <v>126</v>
      </c>
      <c r="U14" s="411"/>
      <c r="V14" s="412" t="s">
        <v>125</v>
      </c>
      <c r="W14" s="413"/>
      <c r="X14" s="447" t="s">
        <v>129</v>
      </c>
      <c r="Y14" s="448"/>
      <c r="Z14" s="448"/>
      <c r="AA14" s="448"/>
      <c r="AB14" s="448"/>
      <c r="AC14" s="449"/>
      <c r="AD14" s="410" t="s">
        <v>126</v>
      </c>
      <c r="AE14" s="411"/>
      <c r="AN14" s="176" t="s">
        <v>184</v>
      </c>
      <c r="AP14">
        <f>IF($N$1=5,"",361)</f>
        <v>361</v>
      </c>
      <c r="AQ14">
        <f>IF($N$1=5,"",362)</f>
        <v>362</v>
      </c>
    </row>
    <row r="15" spans="2:43" ht="14.25" thickBot="1">
      <c r="B15" s="439"/>
      <c r="C15" s="441"/>
      <c r="D15" s="193" t="s">
        <v>78</v>
      </c>
      <c r="E15" s="197" t="s">
        <v>79</v>
      </c>
      <c r="G15" s="420" t="s">
        <v>67</v>
      </c>
      <c r="H15" s="421"/>
      <c r="I15" s="422"/>
      <c r="J15" s="420" t="s">
        <v>69</v>
      </c>
      <c r="K15" s="422"/>
      <c r="N15" s="430" t="s">
        <v>96</v>
      </c>
      <c r="O15" s="431"/>
      <c r="P15" s="181" t="s">
        <v>80</v>
      </c>
      <c r="Q15" s="431" t="s">
        <v>97</v>
      </c>
      <c r="R15" s="431"/>
      <c r="S15" s="181" t="s">
        <v>34</v>
      </c>
      <c r="T15" s="431" t="s">
        <v>68</v>
      </c>
      <c r="U15" s="431"/>
      <c r="V15" s="431" t="s">
        <v>100</v>
      </c>
      <c r="W15" s="431"/>
      <c r="X15" s="431" t="s">
        <v>101</v>
      </c>
      <c r="Y15" s="431"/>
      <c r="Z15" s="431"/>
      <c r="AA15" s="431" t="s">
        <v>102</v>
      </c>
      <c r="AB15" s="431"/>
      <c r="AC15" s="434"/>
      <c r="AD15" s="431" t="s">
        <v>93</v>
      </c>
      <c r="AE15" s="431"/>
      <c r="AF15" s="216" t="s">
        <v>106</v>
      </c>
      <c r="AG15" s="217"/>
      <c r="AH15" s="217"/>
      <c r="AI15" s="217"/>
      <c r="AL15" s="178"/>
      <c r="AN15" s="176" t="s">
        <v>107</v>
      </c>
      <c r="AP15">
        <v>451</v>
      </c>
      <c r="AQ15">
        <v>452</v>
      </c>
    </row>
    <row r="16" spans="2:43" ht="14.25" thickTop="1">
      <c r="B16" s="108">
        <v>41783</v>
      </c>
      <c r="C16" s="104" t="s">
        <v>23</v>
      </c>
      <c r="D16" s="135" t="s">
        <v>25</v>
      </c>
      <c r="E16" s="195" t="s">
        <v>133</v>
      </c>
      <c r="F16">
        <v>1</v>
      </c>
      <c r="G16" s="425" t="s">
        <v>197</v>
      </c>
      <c r="H16" s="426"/>
      <c r="I16" s="427"/>
      <c r="J16" s="425" t="s">
        <v>198</v>
      </c>
      <c r="K16" s="427"/>
      <c r="M16">
        <v>1</v>
      </c>
      <c r="N16" s="391">
        <v>561</v>
      </c>
      <c r="O16" s="392"/>
      <c r="P16" s="210" t="str">
        <f>IF(N16="","",INDEX($B$16:$F$62,MATCH(Q16,$B$16:$B$62,1),4))</f>
        <v>④</v>
      </c>
      <c r="Q16" s="393">
        <v>41783</v>
      </c>
      <c r="R16" s="394"/>
      <c r="S16" s="211" t="str">
        <f>IF(N16="","",INDEX($B$16:$F$62,MATCH(Q16,$B$16:$B$62,1),2))</f>
        <v>土</v>
      </c>
      <c r="T16" s="388" t="s">
        <v>198</v>
      </c>
      <c r="U16" s="389"/>
      <c r="V16" s="442"/>
      <c r="W16" s="442"/>
      <c r="X16" s="443" t="str">
        <f aca="true" t="shared" si="0" ref="X16:X45">IF(N16="","",INDEX($AJ$4:$AK$11,MATCH(VALUE(LEFT(N16)),$AJ$4:$AJ$11,1),2))</f>
        <v>根上中学校</v>
      </c>
      <c r="Y16" s="444"/>
      <c r="Z16" s="445"/>
      <c r="AA16" s="446" t="str">
        <f aca="true" t="shared" si="1" ref="AA16:AA45">IF(N16="","",INDEX($AJ$4:$AK$11,MATCH(VALUE(MID(N16,2,1)),$AJ$4:$AJ$11,1),2))</f>
        <v>ＦＣ．ＴＯＮ</v>
      </c>
      <c r="AB16" s="446"/>
      <c r="AC16" s="446"/>
      <c r="AD16" s="483"/>
      <c r="AE16" s="484"/>
      <c r="AF16" s="395">
        <f>IF(N16="","",Q16*100+IF(T16="",0,INDEX($F$16:$J$60,MATCH(T16,$J$16:$J$60,0),1))+V16+N16/100000)</f>
        <v>4178301.00561</v>
      </c>
      <c r="AG16" s="396"/>
      <c r="AH16" s="396"/>
      <c r="AI16" s="218">
        <f aca="true" t="shared" si="2" ref="AI16:AI45">IF(Q16="","",RANK(AF16,$AF$16:$AF$62,1))</f>
        <v>1</v>
      </c>
      <c r="AJ16" s="209"/>
      <c r="AL16" s="178"/>
      <c r="AN16" s="176" t="s">
        <v>108</v>
      </c>
      <c r="AP16">
        <f>IF($N$1=5,"",461)</f>
        <v>461</v>
      </c>
      <c r="AQ16">
        <f>IF($N$1=5,"",462)</f>
        <v>462</v>
      </c>
    </row>
    <row r="17" spans="2:43" ht="13.5">
      <c r="B17" s="109">
        <v>41784</v>
      </c>
      <c r="C17" s="105" t="s">
        <v>134</v>
      </c>
      <c r="D17" s="136"/>
      <c r="E17" s="221" t="s">
        <v>133</v>
      </c>
      <c r="F17">
        <v>2</v>
      </c>
      <c r="G17" s="414" t="s">
        <v>199</v>
      </c>
      <c r="H17" s="415"/>
      <c r="I17" s="416"/>
      <c r="J17" s="414" t="s">
        <v>199</v>
      </c>
      <c r="K17" s="416"/>
      <c r="M17">
        <v>2</v>
      </c>
      <c r="N17" s="391">
        <v>261</v>
      </c>
      <c r="O17" s="392"/>
      <c r="P17" s="210" t="str">
        <f aca="true" t="shared" si="3" ref="P17:P45">IF(N17="","",INDEX($B$16:$F$62,MATCH(Q17,$B$16:$B$62,1),4))</f>
        <v>④</v>
      </c>
      <c r="Q17" s="393">
        <v>41783</v>
      </c>
      <c r="R17" s="394"/>
      <c r="S17" s="211" t="str">
        <f aca="true" t="shared" si="4" ref="S17:S45">IF(N17="","",INDEX($B$16:$F$62,MATCH(Q17,$B$16:$B$62,1),2))</f>
        <v>土</v>
      </c>
      <c r="T17" s="388" t="s">
        <v>207</v>
      </c>
      <c r="U17" s="389"/>
      <c r="V17" s="390"/>
      <c r="W17" s="390"/>
      <c r="X17" s="399" t="str">
        <f t="shared" si="0"/>
        <v>ＦＣ小松</v>
      </c>
      <c r="Y17" s="399"/>
      <c r="Z17" s="399"/>
      <c r="AA17" s="399" t="str">
        <f t="shared" si="1"/>
        <v>ＦＣ．ＴＯＮ</v>
      </c>
      <c r="AB17" s="399"/>
      <c r="AC17" s="399"/>
      <c r="AD17" s="397"/>
      <c r="AE17" s="398"/>
      <c r="AF17" s="395">
        <f aca="true" t="shared" si="5" ref="AF17:AF45">IF(N17="","",Q17*100+IF(T17="",0,INDEX($F$16:$J$60,MATCH(T17,$J$16:$J$60,0),1))+V17+N17/100000)</f>
        <v>4178313.00261</v>
      </c>
      <c r="AG17" s="396"/>
      <c r="AH17" s="396"/>
      <c r="AI17" s="218">
        <f t="shared" si="2"/>
        <v>2</v>
      </c>
      <c r="AJ17" s="209"/>
      <c r="AN17" s="176" t="s">
        <v>109</v>
      </c>
      <c r="AP17">
        <f>IF($N$1=5,"",561)</f>
        <v>561</v>
      </c>
      <c r="AQ17">
        <f>IF($N$1=5,"",562)</f>
        <v>562</v>
      </c>
    </row>
    <row r="18" spans="2:40" ht="13.5">
      <c r="B18" s="108">
        <v>41790</v>
      </c>
      <c r="C18" s="104" t="s">
        <v>23</v>
      </c>
      <c r="D18" s="222" t="s">
        <v>26</v>
      </c>
      <c r="E18" s="195" t="s">
        <v>135</v>
      </c>
      <c r="F18">
        <v>3</v>
      </c>
      <c r="G18" s="414" t="s">
        <v>201</v>
      </c>
      <c r="H18" s="415"/>
      <c r="I18" s="416"/>
      <c r="J18" s="414" t="s">
        <v>200</v>
      </c>
      <c r="K18" s="416"/>
      <c r="M18">
        <v>3</v>
      </c>
      <c r="N18" s="391">
        <v>351</v>
      </c>
      <c r="O18" s="392"/>
      <c r="P18" s="210" t="str">
        <f t="shared" si="3"/>
        <v>④</v>
      </c>
      <c r="Q18" s="393">
        <v>41783</v>
      </c>
      <c r="R18" s="394"/>
      <c r="S18" s="211" t="str">
        <f t="shared" si="4"/>
        <v>土</v>
      </c>
      <c r="T18" s="388" t="s">
        <v>207</v>
      </c>
      <c r="U18" s="389"/>
      <c r="V18" s="390"/>
      <c r="W18" s="390"/>
      <c r="X18" s="399" t="str">
        <f t="shared" si="0"/>
        <v>河北台ＳＣ</v>
      </c>
      <c r="Y18" s="399"/>
      <c r="Z18" s="399"/>
      <c r="AA18" s="399" t="str">
        <f t="shared" si="1"/>
        <v>根上中学校</v>
      </c>
      <c r="AB18" s="399"/>
      <c r="AC18" s="399"/>
      <c r="AD18" s="397"/>
      <c r="AE18" s="398"/>
      <c r="AF18" s="395">
        <f t="shared" si="5"/>
        <v>4178313.00351</v>
      </c>
      <c r="AG18" s="396"/>
      <c r="AH18" s="396"/>
      <c r="AI18" s="218">
        <f t="shared" si="2"/>
        <v>3</v>
      </c>
      <c r="AJ18" s="209"/>
      <c r="AN18" s="176" t="s">
        <v>110</v>
      </c>
    </row>
    <row r="19" spans="2:40" ht="13.5">
      <c r="B19" s="137">
        <v>41791</v>
      </c>
      <c r="C19" s="106" t="s">
        <v>134</v>
      </c>
      <c r="D19" s="223"/>
      <c r="E19" s="224" t="s">
        <v>135</v>
      </c>
      <c r="F19">
        <v>4</v>
      </c>
      <c r="G19" s="414" t="s">
        <v>202</v>
      </c>
      <c r="H19" s="415"/>
      <c r="I19" s="416"/>
      <c r="J19" s="414" t="s">
        <v>202</v>
      </c>
      <c r="K19" s="416"/>
      <c r="M19">
        <v>4</v>
      </c>
      <c r="N19" s="391">
        <v>341</v>
      </c>
      <c r="O19" s="392"/>
      <c r="P19" s="210" t="str">
        <f t="shared" si="3"/>
        <v>④</v>
      </c>
      <c r="Q19" s="393">
        <v>41784</v>
      </c>
      <c r="R19" s="394"/>
      <c r="S19" s="211" t="str">
        <f t="shared" si="4"/>
        <v>日</v>
      </c>
      <c r="T19" s="388" t="s">
        <v>207</v>
      </c>
      <c r="U19" s="389"/>
      <c r="V19" s="390"/>
      <c r="W19" s="390"/>
      <c r="X19" s="399" t="str">
        <f t="shared" si="0"/>
        <v>河北台ＳＣ</v>
      </c>
      <c r="Y19" s="399"/>
      <c r="Z19" s="399"/>
      <c r="AA19" s="399" t="str">
        <f t="shared" si="1"/>
        <v>FC.SOUTHERN</v>
      </c>
      <c r="AB19" s="399"/>
      <c r="AC19" s="399"/>
      <c r="AD19" s="397"/>
      <c r="AE19" s="398"/>
      <c r="AF19" s="395">
        <f t="shared" si="5"/>
        <v>4178413.00341</v>
      </c>
      <c r="AG19" s="396"/>
      <c r="AH19" s="396"/>
      <c r="AI19" s="218">
        <f t="shared" si="2"/>
        <v>5</v>
      </c>
      <c r="AK19" s="178"/>
      <c r="AN19" s="176" t="s">
        <v>111</v>
      </c>
    </row>
    <row r="20" spans="2:40" ht="13.5">
      <c r="B20" s="137">
        <v>41797</v>
      </c>
      <c r="C20" s="106" t="s">
        <v>23</v>
      </c>
      <c r="D20" s="223" t="s">
        <v>29</v>
      </c>
      <c r="E20" s="224" t="s">
        <v>135</v>
      </c>
      <c r="F20">
        <v>5</v>
      </c>
      <c r="G20" s="414" t="s">
        <v>203</v>
      </c>
      <c r="H20" s="415"/>
      <c r="I20" s="416"/>
      <c r="J20" s="414" t="s">
        <v>203</v>
      </c>
      <c r="K20" s="416"/>
      <c r="M20">
        <v>5</v>
      </c>
      <c r="N20" s="391">
        <v>251</v>
      </c>
      <c r="O20" s="392"/>
      <c r="P20" s="210" t="str">
        <f t="shared" si="3"/>
        <v>④</v>
      </c>
      <c r="Q20" s="393">
        <v>41784</v>
      </c>
      <c r="R20" s="394"/>
      <c r="S20" s="211" t="str">
        <f t="shared" si="4"/>
        <v>日</v>
      </c>
      <c r="T20" s="388" t="s">
        <v>207</v>
      </c>
      <c r="U20" s="389"/>
      <c r="V20" s="390"/>
      <c r="W20" s="390"/>
      <c r="X20" s="399" t="str">
        <f t="shared" si="0"/>
        <v>ＦＣ小松</v>
      </c>
      <c r="Y20" s="399"/>
      <c r="Z20" s="399"/>
      <c r="AA20" s="399" t="str">
        <f t="shared" si="1"/>
        <v>根上中学校</v>
      </c>
      <c r="AB20" s="399"/>
      <c r="AC20" s="399"/>
      <c r="AD20" s="397"/>
      <c r="AE20" s="398"/>
      <c r="AF20" s="395">
        <f t="shared" si="5"/>
        <v>4178413.00251</v>
      </c>
      <c r="AG20" s="396"/>
      <c r="AH20" s="396"/>
      <c r="AI20" s="218">
        <f t="shared" si="2"/>
        <v>4</v>
      </c>
      <c r="AN20" s="176" t="s">
        <v>112</v>
      </c>
    </row>
    <row r="21" spans="2:40" ht="13.5">
      <c r="B21" s="137">
        <v>41798</v>
      </c>
      <c r="C21" s="106" t="s">
        <v>24</v>
      </c>
      <c r="D21" s="223"/>
      <c r="E21" s="224" t="s">
        <v>135</v>
      </c>
      <c r="F21">
        <v>6</v>
      </c>
      <c r="G21" s="414" t="s">
        <v>21</v>
      </c>
      <c r="H21" s="415"/>
      <c r="I21" s="416"/>
      <c r="J21" s="414" t="s">
        <v>60</v>
      </c>
      <c r="K21" s="416"/>
      <c r="L21" s="402" t="s">
        <v>185</v>
      </c>
      <c r="M21">
        <v>6</v>
      </c>
      <c r="N21" s="391">
        <v>241</v>
      </c>
      <c r="O21" s="392"/>
      <c r="P21" s="210" t="str">
        <f t="shared" si="3"/>
        <v>⑤</v>
      </c>
      <c r="Q21" s="393">
        <v>41790</v>
      </c>
      <c r="R21" s="394"/>
      <c r="S21" s="211" t="str">
        <f t="shared" si="4"/>
        <v>土</v>
      </c>
      <c r="T21" s="388" t="s">
        <v>207</v>
      </c>
      <c r="U21" s="389"/>
      <c r="V21" s="390"/>
      <c r="W21" s="390"/>
      <c r="X21" s="399" t="str">
        <f t="shared" si="0"/>
        <v>ＦＣ小松</v>
      </c>
      <c r="Y21" s="399"/>
      <c r="Z21" s="399"/>
      <c r="AA21" s="399" t="str">
        <f t="shared" si="1"/>
        <v>FC.SOUTHERN</v>
      </c>
      <c r="AB21" s="399"/>
      <c r="AC21" s="399"/>
      <c r="AD21" s="397"/>
      <c r="AE21" s="398"/>
      <c r="AF21" s="395">
        <f t="shared" si="5"/>
        <v>4179013.00241</v>
      </c>
      <c r="AG21" s="396"/>
      <c r="AH21" s="396"/>
      <c r="AI21" s="218">
        <f t="shared" si="2"/>
        <v>6</v>
      </c>
      <c r="AN21" s="176" t="s">
        <v>113</v>
      </c>
    </row>
    <row r="22" spans="2:40" ht="14.25" thickBot="1">
      <c r="B22" s="137">
        <v>41804</v>
      </c>
      <c r="C22" s="106" t="s">
        <v>23</v>
      </c>
      <c r="D22" s="223"/>
      <c r="E22" s="224" t="s">
        <v>135</v>
      </c>
      <c r="F22">
        <v>7</v>
      </c>
      <c r="G22" s="414" t="s">
        <v>36</v>
      </c>
      <c r="H22" s="415"/>
      <c r="I22" s="416"/>
      <c r="J22" s="414" t="s">
        <v>59</v>
      </c>
      <c r="K22" s="416"/>
      <c r="L22" s="402"/>
      <c r="M22">
        <v>7</v>
      </c>
      <c r="N22" s="391">
        <v>451</v>
      </c>
      <c r="O22" s="392"/>
      <c r="P22" s="210" t="str">
        <f t="shared" si="3"/>
        <v>⑤</v>
      </c>
      <c r="Q22" s="393">
        <v>41791</v>
      </c>
      <c r="R22" s="394"/>
      <c r="S22" s="211" t="str">
        <f t="shared" si="4"/>
        <v>日</v>
      </c>
      <c r="T22" s="388" t="s">
        <v>202</v>
      </c>
      <c r="U22" s="389"/>
      <c r="V22" s="390"/>
      <c r="W22" s="390"/>
      <c r="X22" s="399" t="str">
        <f t="shared" si="0"/>
        <v>FC.SOUTHERN</v>
      </c>
      <c r="Y22" s="399"/>
      <c r="Z22" s="399"/>
      <c r="AA22" s="399" t="str">
        <f t="shared" si="1"/>
        <v>根上中学校</v>
      </c>
      <c r="AB22" s="399"/>
      <c r="AC22" s="399"/>
      <c r="AD22" s="397"/>
      <c r="AE22" s="398"/>
      <c r="AF22" s="395">
        <f t="shared" si="5"/>
        <v>4179104.00451</v>
      </c>
      <c r="AG22" s="396"/>
      <c r="AH22" s="396"/>
      <c r="AI22" s="218">
        <f t="shared" si="2"/>
        <v>8</v>
      </c>
      <c r="AN22" s="176" t="s">
        <v>114</v>
      </c>
    </row>
    <row r="23" spans="2:40" ht="14.25" thickTop="1">
      <c r="B23" s="109">
        <v>41805</v>
      </c>
      <c r="C23" s="105" t="s">
        <v>24</v>
      </c>
      <c r="D23" s="136"/>
      <c r="E23" s="221" t="s">
        <v>135</v>
      </c>
      <c r="F23">
        <v>8</v>
      </c>
      <c r="G23" s="414" t="s">
        <v>48</v>
      </c>
      <c r="H23" s="415"/>
      <c r="I23" s="416"/>
      <c r="J23" s="414" t="s">
        <v>46</v>
      </c>
      <c r="K23" s="416"/>
      <c r="L23" s="402"/>
      <c r="M23">
        <v>8</v>
      </c>
      <c r="N23" s="391">
        <v>131</v>
      </c>
      <c r="O23" s="392"/>
      <c r="P23" s="210" t="str">
        <f t="shared" si="3"/>
        <v>⑤</v>
      </c>
      <c r="Q23" s="393">
        <v>41791</v>
      </c>
      <c r="R23" s="394"/>
      <c r="S23" s="211" t="str">
        <f t="shared" si="4"/>
        <v>日</v>
      </c>
      <c r="T23" s="388" t="s">
        <v>202</v>
      </c>
      <c r="U23" s="389"/>
      <c r="V23" s="390"/>
      <c r="W23" s="390"/>
      <c r="X23" s="399" t="str">
        <f t="shared" si="0"/>
        <v>松任中学校</v>
      </c>
      <c r="Y23" s="399"/>
      <c r="Z23" s="399"/>
      <c r="AA23" s="399" t="str">
        <f t="shared" si="1"/>
        <v>河北台ＳＣ</v>
      </c>
      <c r="AB23" s="399"/>
      <c r="AC23" s="399"/>
      <c r="AD23" s="397"/>
      <c r="AE23" s="398"/>
      <c r="AF23" s="395">
        <f t="shared" si="5"/>
        <v>4179104.00131</v>
      </c>
      <c r="AG23" s="396"/>
      <c r="AH23" s="396"/>
      <c r="AI23" s="218">
        <f t="shared" si="2"/>
        <v>7</v>
      </c>
      <c r="AN23" s="344" t="s">
        <v>179</v>
      </c>
    </row>
    <row r="24" spans="2:40" ht="13.5">
      <c r="B24" s="108">
        <v>41818</v>
      </c>
      <c r="C24" s="104" t="s">
        <v>23</v>
      </c>
      <c r="D24" s="135" t="s">
        <v>27</v>
      </c>
      <c r="E24" s="195" t="s">
        <v>136</v>
      </c>
      <c r="F24">
        <v>9</v>
      </c>
      <c r="G24" s="414" t="s">
        <v>37</v>
      </c>
      <c r="H24" s="415"/>
      <c r="I24" s="416"/>
      <c r="J24" s="414" t="s">
        <v>70</v>
      </c>
      <c r="K24" s="416"/>
      <c r="L24" s="402"/>
      <c r="M24">
        <v>9</v>
      </c>
      <c r="N24" s="391">
        <v>141</v>
      </c>
      <c r="O24" s="392"/>
      <c r="P24" s="210" t="str">
        <f t="shared" si="3"/>
        <v>⑤</v>
      </c>
      <c r="Q24" s="393">
        <v>41797</v>
      </c>
      <c r="R24" s="394"/>
      <c r="S24" s="211" t="str">
        <f t="shared" si="4"/>
        <v>土</v>
      </c>
      <c r="T24" s="388" t="s">
        <v>203</v>
      </c>
      <c r="U24" s="389"/>
      <c r="V24" s="390"/>
      <c r="W24" s="390"/>
      <c r="X24" s="399" t="str">
        <f t="shared" si="0"/>
        <v>松任中学校</v>
      </c>
      <c r="Y24" s="399"/>
      <c r="Z24" s="399"/>
      <c r="AA24" s="399" t="str">
        <f t="shared" si="1"/>
        <v>FC.SOUTHERN</v>
      </c>
      <c r="AB24" s="399"/>
      <c r="AC24" s="399"/>
      <c r="AD24" s="397"/>
      <c r="AE24" s="398"/>
      <c r="AF24" s="395">
        <f t="shared" si="5"/>
        <v>4179705.00141</v>
      </c>
      <c r="AG24" s="396"/>
      <c r="AH24" s="396"/>
      <c r="AI24" s="218">
        <f t="shared" si="2"/>
        <v>9</v>
      </c>
      <c r="AN24" s="345" t="s">
        <v>180</v>
      </c>
    </row>
    <row r="25" spans="2:40" ht="14.25" thickBot="1">
      <c r="B25" s="109">
        <v>41819</v>
      </c>
      <c r="C25" s="105" t="s">
        <v>24</v>
      </c>
      <c r="D25" s="136"/>
      <c r="E25" s="194" t="str">
        <f>IF(E24="","",E24)</f>
        <v>⑥</v>
      </c>
      <c r="F25">
        <v>10</v>
      </c>
      <c r="G25" s="414" t="s">
        <v>20</v>
      </c>
      <c r="H25" s="415"/>
      <c r="I25" s="416"/>
      <c r="J25" s="414" t="s">
        <v>71</v>
      </c>
      <c r="K25" s="416"/>
      <c r="L25" s="402"/>
      <c r="M25">
        <v>10</v>
      </c>
      <c r="N25" s="391">
        <v>151</v>
      </c>
      <c r="O25" s="392"/>
      <c r="P25" s="210" t="str">
        <f t="shared" si="3"/>
        <v>⑤</v>
      </c>
      <c r="Q25" s="393">
        <v>41804</v>
      </c>
      <c r="R25" s="394"/>
      <c r="S25" s="211" t="str">
        <f t="shared" si="4"/>
        <v>土</v>
      </c>
      <c r="T25" s="388" t="s">
        <v>46</v>
      </c>
      <c r="U25" s="389"/>
      <c r="V25" s="390"/>
      <c r="W25" s="390"/>
      <c r="X25" s="399" t="str">
        <f t="shared" si="0"/>
        <v>松任中学校</v>
      </c>
      <c r="Y25" s="399"/>
      <c r="Z25" s="399"/>
      <c r="AA25" s="399" t="str">
        <f t="shared" si="1"/>
        <v>根上中学校</v>
      </c>
      <c r="AB25" s="399"/>
      <c r="AC25" s="399"/>
      <c r="AD25" s="397"/>
      <c r="AE25" s="398"/>
      <c r="AF25" s="395">
        <f t="shared" si="5"/>
        <v>4180408.00151</v>
      </c>
      <c r="AG25" s="396"/>
      <c r="AH25" s="396"/>
      <c r="AI25" s="218">
        <f t="shared" si="2"/>
        <v>10</v>
      </c>
      <c r="AN25" s="345" t="s">
        <v>181</v>
      </c>
    </row>
    <row r="26" spans="2:40" ht="14.25" thickBot="1">
      <c r="B26" s="108">
        <v>41825</v>
      </c>
      <c r="C26" s="104" t="s">
        <v>23</v>
      </c>
      <c r="D26" s="135" t="s">
        <v>28</v>
      </c>
      <c r="E26" s="195" t="s">
        <v>137</v>
      </c>
      <c r="F26">
        <v>11</v>
      </c>
      <c r="G26" s="414" t="s">
        <v>50</v>
      </c>
      <c r="H26" s="415"/>
      <c r="I26" s="416"/>
      <c r="J26" s="414" t="s">
        <v>50</v>
      </c>
      <c r="K26" s="416"/>
      <c r="L26" s="401" t="s">
        <v>186</v>
      </c>
      <c r="M26" s="349">
        <v>11</v>
      </c>
      <c r="N26" s="391">
        <v>461</v>
      </c>
      <c r="O26" s="392"/>
      <c r="P26" s="210" t="str">
        <f t="shared" si="3"/>
        <v>⑥</v>
      </c>
      <c r="Q26" s="393">
        <v>41818</v>
      </c>
      <c r="R26" s="394"/>
      <c r="S26" s="211" t="str">
        <f t="shared" si="4"/>
        <v>土</v>
      </c>
      <c r="T26" s="388" t="s">
        <v>204</v>
      </c>
      <c r="U26" s="389"/>
      <c r="V26" s="390"/>
      <c r="W26" s="390"/>
      <c r="X26" s="399" t="str">
        <f t="shared" si="0"/>
        <v>FC.SOUTHERN</v>
      </c>
      <c r="Y26" s="399"/>
      <c r="Z26" s="399"/>
      <c r="AA26" s="399" t="str">
        <f t="shared" si="1"/>
        <v>ＦＣ．ＴＯＮ</v>
      </c>
      <c r="AB26" s="399"/>
      <c r="AC26" s="399"/>
      <c r="AD26" s="397"/>
      <c r="AE26" s="398"/>
      <c r="AF26" s="395">
        <f t="shared" si="5"/>
        <v>4181829.00461</v>
      </c>
      <c r="AG26" s="396"/>
      <c r="AH26" s="396"/>
      <c r="AI26" s="218">
        <f t="shared" si="2"/>
        <v>12</v>
      </c>
      <c r="AN26" s="346" t="s">
        <v>182</v>
      </c>
    </row>
    <row r="27" spans="2:35" ht="14.25" thickTop="1">
      <c r="B27" s="107">
        <v>41826</v>
      </c>
      <c r="C27" s="103" t="s">
        <v>24</v>
      </c>
      <c r="D27" s="225"/>
      <c r="E27" s="226" t="str">
        <f aca="true" t="shared" si="6" ref="E27:E32">IF(E26="","",E26)</f>
        <v>⑦</v>
      </c>
      <c r="F27">
        <v>12</v>
      </c>
      <c r="G27" s="414" t="s">
        <v>49</v>
      </c>
      <c r="H27" s="415"/>
      <c r="I27" s="416"/>
      <c r="J27" s="414" t="s">
        <v>72</v>
      </c>
      <c r="K27" s="416"/>
      <c r="L27" s="402"/>
      <c r="M27" s="172">
        <v>12</v>
      </c>
      <c r="N27" s="391">
        <v>231</v>
      </c>
      <c r="O27" s="392"/>
      <c r="P27" s="210" t="str">
        <f t="shared" si="3"/>
        <v>⑥</v>
      </c>
      <c r="Q27" s="393">
        <v>41818</v>
      </c>
      <c r="R27" s="394"/>
      <c r="S27" s="211" t="str">
        <f t="shared" si="4"/>
        <v>土</v>
      </c>
      <c r="T27" s="388" t="s">
        <v>204</v>
      </c>
      <c r="U27" s="389"/>
      <c r="V27" s="390"/>
      <c r="W27" s="390"/>
      <c r="X27" s="399" t="str">
        <f t="shared" si="0"/>
        <v>ＦＣ小松</v>
      </c>
      <c r="Y27" s="399"/>
      <c r="Z27" s="399"/>
      <c r="AA27" s="399" t="str">
        <f t="shared" si="1"/>
        <v>河北台ＳＣ</v>
      </c>
      <c r="AB27" s="399"/>
      <c r="AC27" s="399"/>
      <c r="AD27" s="397"/>
      <c r="AE27" s="398"/>
      <c r="AF27" s="395">
        <f t="shared" si="5"/>
        <v>4181829.00231</v>
      </c>
      <c r="AG27" s="396"/>
      <c r="AH27" s="396"/>
      <c r="AI27" s="218">
        <f t="shared" si="2"/>
        <v>11</v>
      </c>
    </row>
    <row r="28" spans="2:35" ht="13.5">
      <c r="B28" s="137">
        <v>41832</v>
      </c>
      <c r="C28" s="106" t="s">
        <v>23</v>
      </c>
      <c r="D28" s="223" t="s">
        <v>29</v>
      </c>
      <c r="E28" s="196" t="str">
        <f t="shared" si="6"/>
        <v>⑦</v>
      </c>
      <c r="F28">
        <v>13</v>
      </c>
      <c r="G28" s="414" t="s">
        <v>84</v>
      </c>
      <c r="H28" s="415"/>
      <c r="I28" s="416"/>
      <c r="J28" s="414" t="s">
        <v>85</v>
      </c>
      <c r="K28" s="416"/>
      <c r="L28" s="402"/>
      <c r="M28" s="172">
        <v>13</v>
      </c>
      <c r="N28" s="391">
        <v>121</v>
      </c>
      <c r="O28" s="392"/>
      <c r="P28" s="210" t="str">
        <f t="shared" si="3"/>
        <v>⑥</v>
      </c>
      <c r="Q28" s="393">
        <v>41819</v>
      </c>
      <c r="R28" s="394"/>
      <c r="S28" s="211" t="str">
        <f t="shared" si="4"/>
        <v>日</v>
      </c>
      <c r="T28" s="388" t="s">
        <v>71</v>
      </c>
      <c r="U28" s="389"/>
      <c r="V28" s="390"/>
      <c r="W28" s="390"/>
      <c r="X28" s="399" t="str">
        <f t="shared" si="0"/>
        <v>松任中学校</v>
      </c>
      <c r="Y28" s="399"/>
      <c r="Z28" s="399"/>
      <c r="AA28" s="399" t="str">
        <f t="shared" si="1"/>
        <v>ＦＣ小松</v>
      </c>
      <c r="AB28" s="399"/>
      <c r="AC28" s="399"/>
      <c r="AD28" s="397"/>
      <c r="AE28" s="398"/>
      <c r="AF28" s="395">
        <f t="shared" si="5"/>
        <v>4181910.00121</v>
      </c>
      <c r="AG28" s="396"/>
      <c r="AH28" s="396"/>
      <c r="AI28" s="218">
        <f t="shared" si="2"/>
        <v>13</v>
      </c>
    </row>
    <row r="29" spans="2:35" ht="13.5">
      <c r="B29" s="137">
        <v>41833</v>
      </c>
      <c r="C29" s="106" t="s">
        <v>24</v>
      </c>
      <c r="D29" s="223"/>
      <c r="E29" s="196" t="str">
        <f t="shared" si="6"/>
        <v>⑦</v>
      </c>
      <c r="F29">
        <v>14</v>
      </c>
      <c r="G29" s="414" t="s">
        <v>51</v>
      </c>
      <c r="H29" s="415"/>
      <c r="I29" s="416"/>
      <c r="J29" s="414" t="s">
        <v>73</v>
      </c>
      <c r="K29" s="416"/>
      <c r="L29" s="402"/>
      <c r="M29" s="172">
        <v>14</v>
      </c>
      <c r="N29" s="391">
        <v>361</v>
      </c>
      <c r="O29" s="392"/>
      <c r="P29" s="210" t="str">
        <f t="shared" si="3"/>
        <v>⑦</v>
      </c>
      <c r="Q29" s="393">
        <v>41826</v>
      </c>
      <c r="R29" s="394"/>
      <c r="S29" s="211" t="str">
        <f t="shared" si="4"/>
        <v>日</v>
      </c>
      <c r="T29" s="388" t="s">
        <v>198</v>
      </c>
      <c r="U29" s="389"/>
      <c r="V29" s="390"/>
      <c r="W29" s="390"/>
      <c r="X29" s="399" t="str">
        <f t="shared" si="0"/>
        <v>河北台ＳＣ</v>
      </c>
      <c r="Y29" s="399"/>
      <c r="Z29" s="399"/>
      <c r="AA29" s="399" t="str">
        <f t="shared" si="1"/>
        <v>ＦＣ．ＴＯＮ</v>
      </c>
      <c r="AB29" s="399"/>
      <c r="AC29" s="399"/>
      <c r="AD29" s="397"/>
      <c r="AE29" s="398"/>
      <c r="AF29" s="395">
        <f t="shared" si="5"/>
        <v>4182601.00361</v>
      </c>
      <c r="AG29" s="396"/>
      <c r="AH29" s="396"/>
      <c r="AI29" s="218">
        <f t="shared" si="2"/>
        <v>14</v>
      </c>
    </row>
    <row r="30" spans="2:35" ht="14.25" thickBot="1">
      <c r="B30" s="137">
        <v>41839</v>
      </c>
      <c r="C30" s="106" t="s">
        <v>23</v>
      </c>
      <c r="D30" s="223"/>
      <c r="E30" s="196" t="str">
        <f t="shared" si="6"/>
        <v>⑦</v>
      </c>
      <c r="F30">
        <v>15</v>
      </c>
      <c r="G30" s="414" t="s">
        <v>52</v>
      </c>
      <c r="H30" s="415"/>
      <c r="I30" s="416"/>
      <c r="J30" s="414" t="s">
        <v>74</v>
      </c>
      <c r="K30" s="416"/>
      <c r="L30" s="403"/>
      <c r="M30" s="350">
        <v>15</v>
      </c>
      <c r="N30" s="391">
        <v>161</v>
      </c>
      <c r="O30" s="392"/>
      <c r="P30" s="210" t="str">
        <f t="shared" si="3"/>
        <v>⑦</v>
      </c>
      <c r="Q30" s="393">
        <v>41833</v>
      </c>
      <c r="R30" s="394"/>
      <c r="S30" s="211" t="str">
        <f t="shared" si="4"/>
        <v>日</v>
      </c>
      <c r="T30" s="388" t="s">
        <v>202</v>
      </c>
      <c r="U30" s="389"/>
      <c r="V30" s="390"/>
      <c r="W30" s="390"/>
      <c r="X30" s="399" t="str">
        <f t="shared" si="0"/>
        <v>松任中学校</v>
      </c>
      <c r="Y30" s="399"/>
      <c r="Z30" s="399"/>
      <c r="AA30" s="399" t="str">
        <f t="shared" si="1"/>
        <v>ＦＣ．ＴＯＮ</v>
      </c>
      <c r="AB30" s="399"/>
      <c r="AC30" s="399"/>
      <c r="AD30" s="397"/>
      <c r="AE30" s="398"/>
      <c r="AF30" s="395">
        <f t="shared" si="5"/>
        <v>4183304.00161</v>
      </c>
      <c r="AG30" s="396"/>
      <c r="AH30" s="396"/>
      <c r="AI30" s="218">
        <f t="shared" si="2"/>
        <v>15</v>
      </c>
    </row>
    <row r="31" spans="2:35" ht="13.5">
      <c r="B31" s="137">
        <v>41840</v>
      </c>
      <c r="C31" s="106" t="s">
        <v>24</v>
      </c>
      <c r="D31" s="223"/>
      <c r="E31" s="196" t="str">
        <f t="shared" si="6"/>
        <v>⑦</v>
      </c>
      <c r="F31">
        <v>16</v>
      </c>
      <c r="G31" s="414" t="s">
        <v>57</v>
      </c>
      <c r="H31" s="415"/>
      <c r="I31" s="416"/>
      <c r="J31" s="414" t="s">
        <v>75</v>
      </c>
      <c r="K31" s="416"/>
      <c r="M31">
        <v>16</v>
      </c>
      <c r="N31" s="391">
        <v>342</v>
      </c>
      <c r="O31" s="392"/>
      <c r="P31" s="210" t="str">
        <f>IF(N31="","",INDEX($B$16:$F$62,MATCH(Q31,$B$16:$B$62,1),4))</f>
        <v>⑧</v>
      </c>
      <c r="Q31" s="393">
        <v>41847</v>
      </c>
      <c r="R31" s="394"/>
      <c r="S31" s="211" t="str">
        <f t="shared" si="4"/>
        <v>日</v>
      </c>
      <c r="T31" s="388" t="s">
        <v>202</v>
      </c>
      <c r="U31" s="389"/>
      <c r="V31" s="390"/>
      <c r="W31" s="390"/>
      <c r="X31" s="399" t="str">
        <f t="shared" si="0"/>
        <v>河北台ＳＣ</v>
      </c>
      <c r="Y31" s="399"/>
      <c r="Z31" s="399"/>
      <c r="AA31" s="399" t="str">
        <f t="shared" si="1"/>
        <v>FC.SOUTHERN</v>
      </c>
      <c r="AB31" s="399"/>
      <c r="AC31" s="399"/>
      <c r="AD31" s="397"/>
      <c r="AE31" s="398"/>
      <c r="AF31" s="395">
        <f t="shared" si="5"/>
        <v>4184704.00342</v>
      </c>
      <c r="AG31" s="396"/>
      <c r="AH31" s="396"/>
      <c r="AI31" s="218">
        <f t="shared" si="2"/>
        <v>17</v>
      </c>
    </row>
    <row r="32" spans="2:35" ht="14.25" thickBot="1">
      <c r="B32" s="107">
        <v>41841</v>
      </c>
      <c r="C32" s="103" t="s">
        <v>30</v>
      </c>
      <c r="D32" s="225"/>
      <c r="E32" s="226" t="str">
        <f t="shared" si="6"/>
        <v>⑦</v>
      </c>
      <c r="F32">
        <v>17</v>
      </c>
      <c r="G32" s="414" t="s">
        <v>53</v>
      </c>
      <c r="H32" s="415"/>
      <c r="I32" s="416"/>
      <c r="J32" s="414" t="s">
        <v>76</v>
      </c>
      <c r="K32" s="416"/>
      <c r="M32">
        <v>17</v>
      </c>
      <c r="N32" s="391">
        <v>162</v>
      </c>
      <c r="O32" s="392"/>
      <c r="P32" s="210" t="str">
        <f t="shared" si="3"/>
        <v>⑧</v>
      </c>
      <c r="Q32" s="393">
        <v>41847</v>
      </c>
      <c r="R32" s="394"/>
      <c r="S32" s="211" t="str">
        <f t="shared" si="4"/>
        <v>日</v>
      </c>
      <c r="T32" s="388" t="s">
        <v>202</v>
      </c>
      <c r="U32" s="389"/>
      <c r="V32" s="390"/>
      <c r="W32" s="390"/>
      <c r="X32" s="399" t="str">
        <f t="shared" si="0"/>
        <v>松任中学校</v>
      </c>
      <c r="Y32" s="399"/>
      <c r="Z32" s="399"/>
      <c r="AA32" s="399" t="str">
        <f t="shared" si="1"/>
        <v>ＦＣ．ＴＯＮ</v>
      </c>
      <c r="AB32" s="399"/>
      <c r="AC32" s="399"/>
      <c r="AD32" s="397"/>
      <c r="AE32" s="398"/>
      <c r="AF32" s="395">
        <f t="shared" si="5"/>
        <v>4184704.00162</v>
      </c>
      <c r="AG32" s="396"/>
      <c r="AH32" s="396"/>
      <c r="AI32" s="218">
        <f t="shared" si="2"/>
        <v>16</v>
      </c>
    </row>
    <row r="33" spans="2:35" ht="13.5">
      <c r="B33" s="138">
        <v>41846</v>
      </c>
      <c r="C33" s="139" t="s">
        <v>23</v>
      </c>
      <c r="D33" s="227" t="s">
        <v>31</v>
      </c>
      <c r="E33" s="228" t="s">
        <v>138</v>
      </c>
      <c r="F33">
        <v>18</v>
      </c>
      <c r="G33" s="414" t="s">
        <v>116</v>
      </c>
      <c r="H33" s="415"/>
      <c r="I33" s="416"/>
      <c r="J33" s="414" t="s">
        <v>119</v>
      </c>
      <c r="K33" s="416"/>
      <c r="M33">
        <v>18</v>
      </c>
      <c r="N33" s="391">
        <v>232</v>
      </c>
      <c r="O33" s="392"/>
      <c r="P33" s="210" t="str">
        <f t="shared" si="3"/>
        <v>⑨</v>
      </c>
      <c r="Q33" s="393">
        <v>41860</v>
      </c>
      <c r="R33" s="394"/>
      <c r="S33" s="211" t="str">
        <f t="shared" si="4"/>
        <v>土</v>
      </c>
      <c r="T33" s="388" t="s">
        <v>202</v>
      </c>
      <c r="U33" s="389"/>
      <c r="V33" s="390"/>
      <c r="W33" s="390"/>
      <c r="X33" s="399" t="str">
        <f t="shared" si="0"/>
        <v>ＦＣ小松</v>
      </c>
      <c r="Y33" s="399"/>
      <c r="Z33" s="399"/>
      <c r="AA33" s="399" t="str">
        <f t="shared" si="1"/>
        <v>河北台ＳＣ</v>
      </c>
      <c r="AB33" s="399"/>
      <c r="AC33" s="399"/>
      <c r="AD33" s="397"/>
      <c r="AE33" s="398"/>
      <c r="AF33" s="395">
        <f t="shared" si="5"/>
        <v>4186004.00232</v>
      </c>
      <c r="AG33" s="396"/>
      <c r="AH33" s="396"/>
      <c r="AI33" s="218">
        <f t="shared" si="2"/>
        <v>20</v>
      </c>
    </row>
    <row r="34" spans="2:35" ht="13.5">
      <c r="B34" s="109">
        <v>41847</v>
      </c>
      <c r="C34" s="105" t="s">
        <v>24</v>
      </c>
      <c r="D34" s="136"/>
      <c r="E34" s="194" t="str">
        <f>IF(E33="","",E33)</f>
        <v>⑧</v>
      </c>
      <c r="F34">
        <v>19</v>
      </c>
      <c r="G34" s="414" t="s">
        <v>117</v>
      </c>
      <c r="H34" s="415"/>
      <c r="I34" s="416"/>
      <c r="J34" s="414" t="s">
        <v>120</v>
      </c>
      <c r="K34" s="416"/>
      <c r="M34">
        <v>19</v>
      </c>
      <c r="N34" s="391">
        <v>142</v>
      </c>
      <c r="O34" s="392"/>
      <c r="P34" s="210" t="str">
        <f t="shared" si="3"/>
        <v>⑨</v>
      </c>
      <c r="Q34" s="393">
        <v>41860</v>
      </c>
      <c r="R34" s="394"/>
      <c r="S34" s="211" t="str">
        <f t="shared" si="4"/>
        <v>土</v>
      </c>
      <c r="T34" s="388" t="s">
        <v>202</v>
      </c>
      <c r="U34" s="389"/>
      <c r="V34" s="390"/>
      <c r="W34" s="390"/>
      <c r="X34" s="399" t="str">
        <f t="shared" si="0"/>
        <v>松任中学校</v>
      </c>
      <c r="Y34" s="399"/>
      <c r="Z34" s="399"/>
      <c r="AA34" s="399" t="str">
        <f t="shared" si="1"/>
        <v>FC.SOUTHERN</v>
      </c>
      <c r="AB34" s="399"/>
      <c r="AC34" s="399"/>
      <c r="AD34" s="397"/>
      <c r="AE34" s="398"/>
      <c r="AF34" s="395">
        <f t="shared" si="5"/>
        <v>4186004.00142</v>
      </c>
      <c r="AG34" s="396"/>
      <c r="AH34" s="396"/>
      <c r="AI34" s="218">
        <f t="shared" si="2"/>
        <v>19</v>
      </c>
    </row>
    <row r="35" spans="2:35" ht="13.5">
      <c r="B35" s="108">
        <v>41853</v>
      </c>
      <c r="C35" s="104" t="s">
        <v>23</v>
      </c>
      <c r="D35" s="135" t="s">
        <v>32</v>
      </c>
      <c r="E35" s="195" t="s">
        <v>139</v>
      </c>
      <c r="F35">
        <v>20</v>
      </c>
      <c r="G35" s="414" t="s">
        <v>118</v>
      </c>
      <c r="H35" s="415"/>
      <c r="I35" s="416"/>
      <c r="J35" s="414" t="s">
        <v>121</v>
      </c>
      <c r="K35" s="416"/>
      <c r="M35">
        <v>20</v>
      </c>
      <c r="N35" s="391">
        <v>562</v>
      </c>
      <c r="O35" s="392"/>
      <c r="P35" s="210" t="str">
        <f t="shared" si="3"/>
        <v>⑨</v>
      </c>
      <c r="Q35" s="393">
        <v>41860</v>
      </c>
      <c r="R35" s="394"/>
      <c r="S35" s="211" t="str">
        <f t="shared" si="4"/>
        <v>土</v>
      </c>
      <c r="T35" s="388" t="s">
        <v>199</v>
      </c>
      <c r="U35" s="389"/>
      <c r="V35" s="390"/>
      <c r="W35" s="390"/>
      <c r="X35" s="399" t="str">
        <f t="shared" si="0"/>
        <v>根上中学校</v>
      </c>
      <c r="Y35" s="399"/>
      <c r="Z35" s="399"/>
      <c r="AA35" s="399" t="str">
        <f t="shared" si="1"/>
        <v>ＦＣ．ＴＯＮ</v>
      </c>
      <c r="AB35" s="399"/>
      <c r="AC35" s="399"/>
      <c r="AD35" s="397"/>
      <c r="AE35" s="398"/>
      <c r="AF35" s="395">
        <f t="shared" si="5"/>
        <v>4186002.00562</v>
      </c>
      <c r="AG35" s="396"/>
      <c r="AH35" s="396"/>
      <c r="AI35" s="218">
        <f t="shared" si="2"/>
        <v>18</v>
      </c>
    </row>
    <row r="36" spans="2:35" ht="13.5">
      <c r="B36" s="107">
        <v>41854</v>
      </c>
      <c r="C36" s="103" t="s">
        <v>24</v>
      </c>
      <c r="D36" s="225"/>
      <c r="E36" s="226" t="str">
        <f>IF(E35="","",E35)</f>
        <v>⑨</v>
      </c>
      <c r="F36">
        <v>21</v>
      </c>
      <c r="G36" s="414" t="s">
        <v>47</v>
      </c>
      <c r="H36" s="415"/>
      <c r="I36" s="416"/>
      <c r="J36" s="414" t="s">
        <v>47</v>
      </c>
      <c r="K36" s="416"/>
      <c r="L36" s="402" t="s">
        <v>185</v>
      </c>
      <c r="M36" s="207">
        <v>21</v>
      </c>
      <c r="N36" s="391">
        <v>152</v>
      </c>
      <c r="O36" s="392"/>
      <c r="P36" s="210" t="str">
        <f t="shared" si="3"/>
        <v>⑩</v>
      </c>
      <c r="Q36" s="393">
        <v>41888</v>
      </c>
      <c r="R36" s="394"/>
      <c r="S36" s="211" t="str">
        <f t="shared" si="4"/>
        <v>土</v>
      </c>
      <c r="T36" s="388" t="s">
        <v>198</v>
      </c>
      <c r="U36" s="389"/>
      <c r="V36" s="390"/>
      <c r="W36" s="390"/>
      <c r="X36" s="399" t="str">
        <f t="shared" si="0"/>
        <v>松任中学校</v>
      </c>
      <c r="Y36" s="399"/>
      <c r="Z36" s="399"/>
      <c r="AA36" s="399" t="str">
        <f t="shared" si="1"/>
        <v>根上中学校</v>
      </c>
      <c r="AB36" s="399"/>
      <c r="AC36" s="399"/>
      <c r="AD36" s="397"/>
      <c r="AE36" s="398"/>
      <c r="AF36" s="395">
        <f t="shared" si="5"/>
        <v>4188801.00152</v>
      </c>
      <c r="AG36" s="396"/>
      <c r="AH36" s="396"/>
      <c r="AI36" s="218">
        <f t="shared" si="2"/>
        <v>21</v>
      </c>
    </row>
    <row r="37" spans="2:35" ht="13.5">
      <c r="B37" s="229">
        <v>41860</v>
      </c>
      <c r="C37" s="106" t="s">
        <v>23</v>
      </c>
      <c r="D37" s="230" t="s">
        <v>140</v>
      </c>
      <c r="E37" s="196" t="str">
        <f>IF(E36="","",E36)</f>
        <v>⑨</v>
      </c>
      <c r="F37">
        <v>22</v>
      </c>
      <c r="G37" s="414" t="s">
        <v>95</v>
      </c>
      <c r="H37" s="415"/>
      <c r="I37" s="416"/>
      <c r="J37" s="414" t="s">
        <v>122</v>
      </c>
      <c r="K37" s="416"/>
      <c r="L37" s="402"/>
      <c r="M37" s="172">
        <v>22</v>
      </c>
      <c r="N37" s="391">
        <v>352</v>
      </c>
      <c r="O37" s="392"/>
      <c r="P37" s="210" t="str">
        <f t="shared" si="3"/>
        <v>⑩</v>
      </c>
      <c r="Q37" s="393">
        <v>41895</v>
      </c>
      <c r="R37" s="394"/>
      <c r="S37" s="211" t="str">
        <f t="shared" si="4"/>
        <v>土</v>
      </c>
      <c r="T37" s="388" t="s">
        <v>199</v>
      </c>
      <c r="U37" s="389"/>
      <c r="V37" s="390"/>
      <c r="W37" s="390"/>
      <c r="X37" s="399" t="str">
        <f t="shared" si="0"/>
        <v>河北台ＳＣ</v>
      </c>
      <c r="Y37" s="399"/>
      <c r="Z37" s="399"/>
      <c r="AA37" s="399" t="str">
        <f t="shared" si="1"/>
        <v>根上中学校</v>
      </c>
      <c r="AB37" s="399"/>
      <c r="AC37" s="399"/>
      <c r="AD37" s="397"/>
      <c r="AE37" s="398"/>
      <c r="AF37" s="395">
        <f t="shared" si="5"/>
        <v>4189502.00352</v>
      </c>
      <c r="AG37" s="396"/>
      <c r="AH37" s="396"/>
      <c r="AI37" s="218">
        <f t="shared" si="2"/>
        <v>22</v>
      </c>
    </row>
    <row r="38" spans="2:35" ht="13.5">
      <c r="B38" s="229">
        <v>41881</v>
      </c>
      <c r="C38" s="106" t="s">
        <v>23</v>
      </c>
      <c r="D38" s="230"/>
      <c r="E38" s="196" t="str">
        <f>IF(E37="","",E37)</f>
        <v>⑨</v>
      </c>
      <c r="F38">
        <v>23</v>
      </c>
      <c r="G38" s="414" t="s">
        <v>94</v>
      </c>
      <c r="H38" s="415"/>
      <c r="I38" s="416"/>
      <c r="J38" s="414" t="s">
        <v>123</v>
      </c>
      <c r="K38" s="416"/>
      <c r="L38" s="402"/>
      <c r="M38" s="172">
        <v>23</v>
      </c>
      <c r="N38" s="391">
        <v>362</v>
      </c>
      <c r="O38" s="392"/>
      <c r="P38" s="210" t="str">
        <f t="shared" si="3"/>
        <v>⑪</v>
      </c>
      <c r="Q38" s="393">
        <v>41909</v>
      </c>
      <c r="R38" s="394"/>
      <c r="S38" s="211" t="str">
        <f t="shared" si="4"/>
        <v>土</v>
      </c>
      <c r="T38" s="388" t="s">
        <v>59</v>
      </c>
      <c r="U38" s="389"/>
      <c r="V38" s="390"/>
      <c r="W38" s="390"/>
      <c r="X38" s="399" t="str">
        <f t="shared" si="0"/>
        <v>河北台ＳＣ</v>
      </c>
      <c r="Y38" s="399"/>
      <c r="Z38" s="399"/>
      <c r="AA38" s="399" t="str">
        <f t="shared" si="1"/>
        <v>ＦＣ．ＴＯＮ</v>
      </c>
      <c r="AB38" s="399"/>
      <c r="AC38" s="399"/>
      <c r="AD38" s="397"/>
      <c r="AE38" s="398"/>
      <c r="AF38" s="395">
        <f t="shared" si="5"/>
        <v>4190907.00362</v>
      </c>
      <c r="AG38" s="396"/>
      <c r="AH38" s="396"/>
      <c r="AI38" s="218">
        <f t="shared" si="2"/>
        <v>23</v>
      </c>
    </row>
    <row r="39" spans="2:35" ht="13.5">
      <c r="B39" s="231">
        <v>41882</v>
      </c>
      <c r="C39" s="105" t="s">
        <v>141</v>
      </c>
      <c r="D39" s="232"/>
      <c r="E39" s="194" t="str">
        <f>IF(E38="","",E38)</f>
        <v>⑨</v>
      </c>
      <c r="F39">
        <v>24</v>
      </c>
      <c r="G39" s="414" t="s">
        <v>54</v>
      </c>
      <c r="H39" s="415"/>
      <c r="I39" s="416"/>
      <c r="J39" s="414" t="s">
        <v>54</v>
      </c>
      <c r="K39" s="416"/>
      <c r="L39" s="402"/>
      <c r="M39" s="172">
        <v>24</v>
      </c>
      <c r="N39" s="391">
        <v>242</v>
      </c>
      <c r="O39" s="392"/>
      <c r="P39" s="210" t="str">
        <f t="shared" si="3"/>
        <v>⑪</v>
      </c>
      <c r="Q39" s="393">
        <v>41909</v>
      </c>
      <c r="R39" s="394"/>
      <c r="S39" s="211" t="str">
        <f t="shared" si="4"/>
        <v>土</v>
      </c>
      <c r="T39" s="388" t="s">
        <v>123</v>
      </c>
      <c r="U39" s="389"/>
      <c r="V39" s="390"/>
      <c r="W39" s="390"/>
      <c r="X39" s="399" t="str">
        <f t="shared" si="0"/>
        <v>ＦＣ小松</v>
      </c>
      <c r="Y39" s="399"/>
      <c r="Z39" s="399"/>
      <c r="AA39" s="399" t="str">
        <f t="shared" si="1"/>
        <v>FC.SOUTHERN</v>
      </c>
      <c r="AB39" s="399"/>
      <c r="AC39" s="399"/>
      <c r="AD39" s="397"/>
      <c r="AE39" s="398"/>
      <c r="AF39" s="395">
        <f t="shared" si="5"/>
        <v>4190923.00242</v>
      </c>
      <c r="AG39" s="396"/>
      <c r="AH39" s="396"/>
      <c r="AI39" s="218">
        <f t="shared" si="2"/>
        <v>24</v>
      </c>
    </row>
    <row r="40" spans="2:35" ht="14.25" thickBot="1">
      <c r="B40" s="108">
        <v>41888</v>
      </c>
      <c r="C40" s="104" t="s">
        <v>23</v>
      </c>
      <c r="D40" s="233" t="s">
        <v>142</v>
      </c>
      <c r="E40" s="195" t="s">
        <v>143</v>
      </c>
      <c r="F40">
        <v>25</v>
      </c>
      <c r="G40" s="414" t="s">
        <v>56</v>
      </c>
      <c r="H40" s="415"/>
      <c r="I40" s="416"/>
      <c r="J40" s="414" t="s">
        <v>77</v>
      </c>
      <c r="K40" s="416"/>
      <c r="L40" s="402"/>
      <c r="M40" s="351">
        <v>25</v>
      </c>
      <c r="N40" s="391">
        <v>462</v>
      </c>
      <c r="O40" s="392"/>
      <c r="P40" s="210" t="str">
        <f t="shared" si="3"/>
        <v>⑫</v>
      </c>
      <c r="Q40" s="393">
        <v>41916</v>
      </c>
      <c r="R40" s="394"/>
      <c r="S40" s="211" t="str">
        <f t="shared" si="4"/>
        <v>土</v>
      </c>
      <c r="T40" s="388" t="s">
        <v>71</v>
      </c>
      <c r="U40" s="389"/>
      <c r="V40" s="390"/>
      <c r="W40" s="390"/>
      <c r="X40" s="399" t="str">
        <f t="shared" si="0"/>
        <v>FC.SOUTHERN</v>
      </c>
      <c r="Y40" s="399"/>
      <c r="Z40" s="399"/>
      <c r="AA40" s="399" t="str">
        <f t="shared" si="1"/>
        <v>ＦＣ．ＴＯＮ</v>
      </c>
      <c r="AB40" s="399"/>
      <c r="AC40" s="399"/>
      <c r="AD40" s="397"/>
      <c r="AE40" s="398"/>
      <c r="AF40" s="395">
        <f t="shared" si="5"/>
        <v>4191610.00462</v>
      </c>
      <c r="AG40" s="396"/>
      <c r="AH40" s="396"/>
      <c r="AI40" s="218">
        <f t="shared" si="2"/>
        <v>27</v>
      </c>
    </row>
    <row r="41" spans="2:35" ht="13.5">
      <c r="B41" s="137">
        <v>41889</v>
      </c>
      <c r="C41" s="106" t="s">
        <v>24</v>
      </c>
      <c r="D41" s="198"/>
      <c r="E41" s="196" t="str">
        <f>IF(E40="","",E40)</f>
        <v>⑩</v>
      </c>
      <c r="F41">
        <v>26</v>
      </c>
      <c r="G41" s="414" t="s">
        <v>55</v>
      </c>
      <c r="H41" s="415"/>
      <c r="I41" s="416"/>
      <c r="J41" s="414" t="s">
        <v>55</v>
      </c>
      <c r="K41" s="416"/>
      <c r="L41" s="401" t="s">
        <v>186</v>
      </c>
      <c r="M41">
        <v>26</v>
      </c>
      <c r="N41" s="391">
        <v>252</v>
      </c>
      <c r="O41" s="392"/>
      <c r="P41" s="210" t="str">
        <f t="shared" si="3"/>
        <v>⑫</v>
      </c>
      <c r="Q41" s="393">
        <v>41916</v>
      </c>
      <c r="R41" s="394"/>
      <c r="S41" s="211" t="str">
        <f t="shared" si="4"/>
        <v>土</v>
      </c>
      <c r="T41" s="388" t="s">
        <v>71</v>
      </c>
      <c r="U41" s="389"/>
      <c r="V41" s="390"/>
      <c r="W41" s="390"/>
      <c r="X41" s="399" t="str">
        <f t="shared" si="0"/>
        <v>ＦＣ小松</v>
      </c>
      <c r="Y41" s="399"/>
      <c r="Z41" s="399"/>
      <c r="AA41" s="399" t="str">
        <f t="shared" si="1"/>
        <v>根上中学校</v>
      </c>
      <c r="AB41" s="399"/>
      <c r="AC41" s="399"/>
      <c r="AD41" s="397"/>
      <c r="AE41" s="398"/>
      <c r="AF41" s="395">
        <f t="shared" si="5"/>
        <v>4191610.00252</v>
      </c>
      <c r="AG41" s="396"/>
      <c r="AH41" s="396"/>
      <c r="AI41" s="218">
        <f t="shared" si="2"/>
        <v>25</v>
      </c>
    </row>
    <row r="42" spans="2:35" ht="13.5">
      <c r="B42" s="137">
        <v>41895</v>
      </c>
      <c r="C42" s="106" t="s">
        <v>23</v>
      </c>
      <c r="D42" s="198"/>
      <c r="E42" s="196" t="str">
        <f>IF(E41="","",E41)</f>
        <v>⑩</v>
      </c>
      <c r="F42">
        <v>27</v>
      </c>
      <c r="G42" s="414" t="s">
        <v>44</v>
      </c>
      <c r="H42" s="415"/>
      <c r="I42" s="416"/>
      <c r="J42" s="414" t="s">
        <v>44</v>
      </c>
      <c r="K42" s="416"/>
      <c r="L42" s="402"/>
      <c r="M42">
        <v>27</v>
      </c>
      <c r="N42" s="391">
        <v>262</v>
      </c>
      <c r="O42" s="392"/>
      <c r="P42" s="210" t="str">
        <f t="shared" si="3"/>
        <v>⑫</v>
      </c>
      <c r="Q42" s="393">
        <v>41916</v>
      </c>
      <c r="R42" s="394"/>
      <c r="S42" s="211" t="str">
        <f t="shared" si="4"/>
        <v>土</v>
      </c>
      <c r="T42" s="388" t="s">
        <v>71</v>
      </c>
      <c r="U42" s="389"/>
      <c r="V42" s="390"/>
      <c r="W42" s="390"/>
      <c r="X42" s="399" t="str">
        <f t="shared" si="0"/>
        <v>ＦＣ小松</v>
      </c>
      <c r="Y42" s="399"/>
      <c r="Z42" s="399"/>
      <c r="AA42" s="399" t="str">
        <f t="shared" si="1"/>
        <v>ＦＣ．ＴＯＮ</v>
      </c>
      <c r="AB42" s="399"/>
      <c r="AC42" s="399"/>
      <c r="AD42" s="397"/>
      <c r="AE42" s="398"/>
      <c r="AF42" s="395">
        <f t="shared" si="5"/>
        <v>4191610.00262</v>
      </c>
      <c r="AG42" s="396"/>
      <c r="AH42" s="396"/>
      <c r="AI42" s="218">
        <f t="shared" si="2"/>
        <v>26</v>
      </c>
    </row>
    <row r="43" spans="2:35" ht="13.5">
      <c r="B43" s="137">
        <v>41896</v>
      </c>
      <c r="C43" s="106" t="s">
        <v>24</v>
      </c>
      <c r="D43" s="198"/>
      <c r="E43" s="196" t="str">
        <f>IF(E42="","",E42)</f>
        <v>⑩</v>
      </c>
      <c r="F43">
        <v>28</v>
      </c>
      <c r="G43" s="414" t="s">
        <v>58</v>
      </c>
      <c r="H43" s="415"/>
      <c r="I43" s="416"/>
      <c r="J43" s="414" t="s">
        <v>58</v>
      </c>
      <c r="K43" s="416"/>
      <c r="L43" s="402"/>
      <c r="M43" s="207">
        <v>28</v>
      </c>
      <c r="N43" s="391">
        <v>452</v>
      </c>
      <c r="O43" s="392"/>
      <c r="P43" s="210" t="str">
        <f t="shared" si="3"/>
        <v>⑬</v>
      </c>
      <c r="Q43" s="393">
        <v>41930</v>
      </c>
      <c r="R43" s="394"/>
      <c r="S43" s="211" t="str">
        <f t="shared" si="4"/>
        <v>土</v>
      </c>
      <c r="T43" s="388" t="s">
        <v>202</v>
      </c>
      <c r="U43" s="389"/>
      <c r="V43" s="390"/>
      <c r="W43" s="390"/>
      <c r="X43" s="399" t="str">
        <f t="shared" si="0"/>
        <v>FC.SOUTHERN</v>
      </c>
      <c r="Y43" s="399"/>
      <c r="Z43" s="399"/>
      <c r="AA43" s="399" t="str">
        <f t="shared" si="1"/>
        <v>根上中学校</v>
      </c>
      <c r="AB43" s="399"/>
      <c r="AC43" s="399"/>
      <c r="AD43" s="397"/>
      <c r="AE43" s="398"/>
      <c r="AF43" s="395">
        <f t="shared" si="5"/>
        <v>4193004.00452</v>
      </c>
      <c r="AG43" s="396"/>
      <c r="AH43" s="396"/>
      <c r="AI43" s="218">
        <f t="shared" si="2"/>
        <v>29</v>
      </c>
    </row>
    <row r="44" spans="2:35" ht="13.5">
      <c r="B44" s="109">
        <v>41897</v>
      </c>
      <c r="C44" s="105" t="s">
        <v>30</v>
      </c>
      <c r="D44" s="192"/>
      <c r="E44" s="194" t="str">
        <f>IF(E43="","",E43)</f>
        <v>⑩</v>
      </c>
      <c r="F44">
        <v>29</v>
      </c>
      <c r="G44" s="414" t="s">
        <v>204</v>
      </c>
      <c r="H44" s="415"/>
      <c r="I44" s="416"/>
      <c r="J44" s="414" t="s">
        <v>204</v>
      </c>
      <c r="K44" s="416"/>
      <c r="L44" s="402"/>
      <c r="M44" s="172">
        <v>29</v>
      </c>
      <c r="N44" s="391">
        <v>122</v>
      </c>
      <c r="O44" s="392"/>
      <c r="P44" s="210" t="str">
        <f t="shared" si="3"/>
        <v>⑬</v>
      </c>
      <c r="Q44" s="393">
        <v>41930</v>
      </c>
      <c r="R44" s="394"/>
      <c r="S44" s="211" t="str">
        <f t="shared" si="4"/>
        <v>土</v>
      </c>
      <c r="T44" s="388" t="s">
        <v>202</v>
      </c>
      <c r="U44" s="389"/>
      <c r="V44" s="390"/>
      <c r="W44" s="390"/>
      <c r="X44" s="399" t="str">
        <f t="shared" si="0"/>
        <v>松任中学校</v>
      </c>
      <c r="Y44" s="399"/>
      <c r="Z44" s="399"/>
      <c r="AA44" s="399" t="str">
        <f t="shared" si="1"/>
        <v>ＦＣ小松</v>
      </c>
      <c r="AB44" s="399"/>
      <c r="AC44" s="399"/>
      <c r="AD44" s="397"/>
      <c r="AE44" s="398"/>
      <c r="AF44" s="395">
        <f t="shared" si="5"/>
        <v>4193004.00122</v>
      </c>
      <c r="AG44" s="396"/>
      <c r="AH44" s="396"/>
      <c r="AI44" s="218">
        <f t="shared" si="2"/>
        <v>28</v>
      </c>
    </row>
    <row r="45" spans="2:35" ht="14.25" thickBot="1">
      <c r="B45" s="108">
        <v>41902</v>
      </c>
      <c r="C45" s="104" t="s">
        <v>23</v>
      </c>
      <c r="D45" s="233" t="s">
        <v>144</v>
      </c>
      <c r="E45" s="195" t="s">
        <v>145</v>
      </c>
      <c r="F45">
        <v>30</v>
      </c>
      <c r="G45" s="414"/>
      <c r="H45" s="415"/>
      <c r="I45" s="416"/>
      <c r="J45" s="414"/>
      <c r="K45" s="416"/>
      <c r="L45" s="403"/>
      <c r="M45" s="350">
        <v>30</v>
      </c>
      <c r="N45" s="391">
        <v>132</v>
      </c>
      <c r="O45" s="392"/>
      <c r="P45" s="210" t="str">
        <f t="shared" si="3"/>
        <v>⑬</v>
      </c>
      <c r="Q45" s="393">
        <v>41938</v>
      </c>
      <c r="R45" s="394"/>
      <c r="S45" s="211" t="str">
        <f t="shared" si="4"/>
        <v>日</v>
      </c>
      <c r="T45" s="388" t="s">
        <v>71</v>
      </c>
      <c r="U45" s="389"/>
      <c r="V45" s="390"/>
      <c r="W45" s="390"/>
      <c r="X45" s="399" t="str">
        <f t="shared" si="0"/>
        <v>松任中学校</v>
      </c>
      <c r="Y45" s="399"/>
      <c r="Z45" s="399"/>
      <c r="AA45" s="399" t="str">
        <f t="shared" si="1"/>
        <v>河北台ＳＣ</v>
      </c>
      <c r="AB45" s="399"/>
      <c r="AC45" s="399"/>
      <c r="AD45" s="397"/>
      <c r="AE45" s="398"/>
      <c r="AF45" s="395">
        <f t="shared" si="5"/>
        <v>4193810.00132</v>
      </c>
      <c r="AG45" s="396"/>
      <c r="AH45" s="396"/>
      <c r="AI45" s="218">
        <f t="shared" si="2"/>
        <v>30</v>
      </c>
    </row>
    <row r="46" spans="2:35" ht="13.5">
      <c r="B46" s="137">
        <v>41903</v>
      </c>
      <c r="C46" s="106" t="s">
        <v>24</v>
      </c>
      <c r="D46" s="198"/>
      <c r="E46" s="196" t="str">
        <f>IF(E45="","",E45)</f>
        <v>⑪</v>
      </c>
      <c r="F46">
        <v>31</v>
      </c>
      <c r="G46" s="414"/>
      <c r="H46" s="415"/>
      <c r="I46" s="416"/>
      <c r="J46" s="414"/>
      <c r="K46" s="416"/>
      <c r="M46" s="352"/>
      <c r="N46" s="382"/>
      <c r="O46" s="382"/>
      <c r="P46" s="353"/>
      <c r="Q46" s="383"/>
      <c r="R46" s="383"/>
      <c r="S46" s="353"/>
      <c r="T46" s="386"/>
      <c r="U46" s="386"/>
      <c r="V46" s="387"/>
      <c r="W46" s="387"/>
      <c r="X46" s="384"/>
      <c r="Y46" s="384"/>
      <c r="Z46" s="384"/>
      <c r="AA46" s="384"/>
      <c r="AB46" s="384"/>
      <c r="AC46" s="384"/>
      <c r="AD46" s="385"/>
      <c r="AE46" s="385"/>
      <c r="AF46" s="381"/>
      <c r="AG46" s="381"/>
      <c r="AH46" s="381"/>
      <c r="AI46" s="354"/>
    </row>
    <row r="47" spans="2:35" ht="14.25" thickBot="1">
      <c r="B47" s="137">
        <v>41540</v>
      </c>
      <c r="C47" s="106" t="s">
        <v>132</v>
      </c>
      <c r="D47" s="198"/>
      <c r="E47" s="196" t="str">
        <f>IF(E46="","",E46)</f>
        <v>⑪</v>
      </c>
      <c r="F47">
        <v>32</v>
      </c>
      <c r="G47" s="435"/>
      <c r="H47" s="436"/>
      <c r="I47" s="437"/>
      <c r="J47" s="435"/>
      <c r="K47" s="437"/>
      <c r="M47" s="352"/>
      <c r="N47" s="382"/>
      <c r="O47" s="382"/>
      <c r="P47" s="353"/>
      <c r="Q47" s="383"/>
      <c r="R47" s="383"/>
      <c r="S47" s="353"/>
      <c r="T47" s="386"/>
      <c r="U47" s="386"/>
      <c r="V47" s="387"/>
      <c r="W47" s="387"/>
      <c r="X47" s="384"/>
      <c r="Y47" s="384"/>
      <c r="Z47" s="384"/>
      <c r="AA47" s="384"/>
      <c r="AB47" s="384"/>
      <c r="AC47" s="384"/>
      <c r="AD47" s="385"/>
      <c r="AE47" s="385"/>
      <c r="AF47" s="381"/>
      <c r="AG47" s="381"/>
      <c r="AH47" s="381"/>
      <c r="AI47" s="354"/>
    </row>
    <row r="48" spans="2:35" ht="14.25" thickTop="1">
      <c r="B48" s="137">
        <v>41909</v>
      </c>
      <c r="C48" s="106" t="s">
        <v>23</v>
      </c>
      <c r="D48" s="234"/>
      <c r="E48" s="196" t="str">
        <f>IF(E47="","",E47)</f>
        <v>⑪</v>
      </c>
      <c r="G48" s="1"/>
      <c r="H48" s="1"/>
      <c r="I48" s="1"/>
      <c r="M48" s="352"/>
      <c r="N48" s="382"/>
      <c r="O48" s="382"/>
      <c r="P48" s="353"/>
      <c r="Q48" s="383"/>
      <c r="R48" s="383"/>
      <c r="S48" s="353"/>
      <c r="T48" s="386"/>
      <c r="U48" s="386"/>
      <c r="V48" s="387"/>
      <c r="W48" s="387"/>
      <c r="X48" s="384"/>
      <c r="Y48" s="384"/>
      <c r="Z48" s="384"/>
      <c r="AA48" s="384"/>
      <c r="AB48" s="384"/>
      <c r="AC48" s="384"/>
      <c r="AD48" s="385"/>
      <c r="AE48" s="385"/>
      <c r="AF48" s="381"/>
      <c r="AG48" s="381"/>
      <c r="AH48" s="381"/>
      <c r="AI48" s="354"/>
    </row>
    <row r="49" spans="2:35" ht="13.5">
      <c r="B49" s="109">
        <v>41910</v>
      </c>
      <c r="C49" s="105" t="s">
        <v>134</v>
      </c>
      <c r="D49" s="192"/>
      <c r="E49" s="194" t="str">
        <f>IF(E48="","",E48)</f>
        <v>⑪</v>
      </c>
      <c r="M49" s="352"/>
      <c r="N49" s="382"/>
      <c r="O49" s="382"/>
      <c r="P49" s="353"/>
      <c r="Q49" s="383"/>
      <c r="R49" s="383"/>
      <c r="S49" s="353"/>
      <c r="T49" s="386"/>
      <c r="U49" s="386"/>
      <c r="V49" s="387"/>
      <c r="W49" s="387"/>
      <c r="X49" s="384"/>
      <c r="Y49" s="384"/>
      <c r="Z49" s="384"/>
      <c r="AA49" s="384"/>
      <c r="AB49" s="384"/>
      <c r="AC49" s="384"/>
      <c r="AD49" s="385"/>
      <c r="AE49" s="385"/>
      <c r="AF49" s="381"/>
      <c r="AG49" s="381"/>
      <c r="AH49" s="381"/>
      <c r="AI49" s="354"/>
    </row>
    <row r="50" spans="2:35" ht="13.5">
      <c r="B50" s="108">
        <v>41916</v>
      </c>
      <c r="C50" s="104" t="s">
        <v>23</v>
      </c>
      <c r="D50" s="135" t="s">
        <v>146</v>
      </c>
      <c r="E50" s="195" t="s">
        <v>147</v>
      </c>
      <c r="M50" s="352"/>
      <c r="N50" s="382"/>
      <c r="O50" s="382"/>
      <c r="P50" s="353"/>
      <c r="Q50" s="383"/>
      <c r="R50" s="383"/>
      <c r="S50" s="353"/>
      <c r="T50" s="386"/>
      <c r="U50" s="386"/>
      <c r="V50" s="387"/>
      <c r="W50" s="387"/>
      <c r="X50" s="384"/>
      <c r="Y50" s="384"/>
      <c r="Z50" s="384"/>
      <c r="AA50" s="384"/>
      <c r="AB50" s="384"/>
      <c r="AC50" s="384"/>
      <c r="AD50" s="385"/>
      <c r="AE50" s="385"/>
      <c r="AF50" s="381"/>
      <c r="AG50" s="381"/>
      <c r="AH50" s="381"/>
      <c r="AI50" s="354"/>
    </row>
    <row r="51" spans="2:35" ht="13.5">
      <c r="B51" s="109">
        <v>41917</v>
      </c>
      <c r="C51" s="105" t="s">
        <v>24</v>
      </c>
      <c r="D51" s="136"/>
      <c r="E51" s="194" t="str">
        <f>IF(E50="","",E50)</f>
        <v>⑫</v>
      </c>
      <c r="M51" s="352"/>
      <c r="N51" s="382"/>
      <c r="O51" s="382"/>
      <c r="P51" s="353"/>
      <c r="Q51" s="383"/>
      <c r="R51" s="383"/>
      <c r="S51" s="353"/>
      <c r="T51" s="386"/>
      <c r="U51" s="386"/>
      <c r="V51" s="387"/>
      <c r="W51" s="387"/>
      <c r="X51" s="384"/>
      <c r="Y51" s="384"/>
      <c r="Z51" s="384"/>
      <c r="AA51" s="384"/>
      <c r="AB51" s="384"/>
      <c r="AC51" s="384"/>
      <c r="AD51" s="385"/>
      <c r="AE51" s="385"/>
      <c r="AF51" s="381"/>
      <c r="AG51" s="381"/>
      <c r="AH51" s="381"/>
      <c r="AI51" s="354"/>
    </row>
    <row r="52" spans="2:35" ht="13.5">
      <c r="B52" s="108">
        <v>41930</v>
      </c>
      <c r="C52" s="104" t="s">
        <v>23</v>
      </c>
      <c r="D52" s="135" t="s">
        <v>148</v>
      </c>
      <c r="E52" s="195" t="s">
        <v>149</v>
      </c>
      <c r="M52" s="352"/>
      <c r="N52" s="382"/>
      <c r="O52" s="382"/>
      <c r="P52" s="353"/>
      <c r="Q52" s="383"/>
      <c r="R52" s="383"/>
      <c r="S52" s="353"/>
      <c r="T52" s="386"/>
      <c r="U52" s="386"/>
      <c r="V52" s="387"/>
      <c r="W52" s="387"/>
      <c r="X52" s="384"/>
      <c r="Y52" s="384"/>
      <c r="Z52" s="384"/>
      <c r="AA52" s="384"/>
      <c r="AB52" s="384"/>
      <c r="AC52" s="384"/>
      <c r="AD52" s="385"/>
      <c r="AE52" s="385"/>
      <c r="AF52" s="381"/>
      <c r="AG52" s="381"/>
      <c r="AH52" s="381"/>
      <c r="AI52" s="354"/>
    </row>
    <row r="53" spans="2:35" ht="13.5">
      <c r="B53" s="137">
        <v>41931</v>
      </c>
      <c r="C53" s="106" t="s">
        <v>24</v>
      </c>
      <c r="D53" s="223"/>
      <c r="E53" s="196" t="str">
        <f>IF(E52="","",E52)</f>
        <v>⑬</v>
      </c>
      <c r="M53" s="352"/>
      <c r="N53" s="382"/>
      <c r="O53" s="382"/>
      <c r="P53" s="353"/>
      <c r="Q53" s="383"/>
      <c r="R53" s="383"/>
      <c r="S53" s="353"/>
      <c r="T53" s="386"/>
      <c r="U53" s="386"/>
      <c r="V53" s="387"/>
      <c r="W53" s="387"/>
      <c r="X53" s="384"/>
      <c r="Y53" s="384"/>
      <c r="Z53" s="384"/>
      <c r="AA53" s="384"/>
      <c r="AB53" s="384"/>
      <c r="AC53" s="384"/>
      <c r="AD53" s="385"/>
      <c r="AE53" s="385"/>
      <c r="AF53" s="381"/>
      <c r="AG53" s="381"/>
      <c r="AH53" s="381"/>
      <c r="AI53" s="354"/>
    </row>
    <row r="54" spans="2:35" ht="13.5">
      <c r="B54" s="137">
        <v>41937</v>
      </c>
      <c r="C54" s="106" t="s">
        <v>23</v>
      </c>
      <c r="D54" s="234" t="s">
        <v>140</v>
      </c>
      <c r="E54" s="196" t="str">
        <f>IF(E53="","",E53)</f>
        <v>⑬</v>
      </c>
      <c r="M54" s="352"/>
      <c r="N54" s="382"/>
      <c r="O54" s="382"/>
      <c r="P54" s="353"/>
      <c r="Q54" s="383"/>
      <c r="R54" s="383"/>
      <c r="S54" s="353"/>
      <c r="T54" s="386"/>
      <c r="U54" s="386"/>
      <c r="V54" s="387"/>
      <c r="W54" s="387"/>
      <c r="X54" s="384"/>
      <c r="Y54" s="384"/>
      <c r="Z54" s="384"/>
      <c r="AA54" s="384"/>
      <c r="AB54" s="384"/>
      <c r="AC54" s="384"/>
      <c r="AD54" s="385"/>
      <c r="AE54" s="385"/>
      <c r="AF54" s="381"/>
      <c r="AG54" s="381"/>
      <c r="AH54" s="381"/>
      <c r="AI54" s="354"/>
    </row>
    <row r="55" spans="2:35" ht="14.25" thickBot="1">
      <c r="B55" s="109">
        <v>41938</v>
      </c>
      <c r="C55" s="105" t="s">
        <v>134</v>
      </c>
      <c r="D55" s="192"/>
      <c r="E55" s="194" t="str">
        <f>IF(E54="","",E54)</f>
        <v>⑬</v>
      </c>
      <c r="M55" s="352"/>
      <c r="N55" s="382"/>
      <c r="O55" s="382"/>
      <c r="P55" s="353"/>
      <c r="Q55" s="383"/>
      <c r="R55" s="383"/>
      <c r="S55" s="353"/>
      <c r="T55" s="386"/>
      <c r="U55" s="386"/>
      <c r="V55" s="387"/>
      <c r="W55" s="387"/>
      <c r="X55" s="384"/>
      <c r="Y55" s="384"/>
      <c r="Z55" s="384"/>
      <c r="AA55" s="384"/>
      <c r="AB55" s="384"/>
      <c r="AC55" s="384"/>
      <c r="AD55" s="385"/>
      <c r="AE55" s="385"/>
      <c r="AF55" s="381"/>
      <c r="AG55" s="381"/>
      <c r="AH55" s="381"/>
      <c r="AI55" s="354"/>
    </row>
    <row r="56" spans="2:35" ht="14.25" thickTop="1">
      <c r="B56" s="235">
        <v>41862</v>
      </c>
      <c r="C56" s="111" t="str">
        <f aca="true" t="shared" si="7" ref="C56:C61">IF(B56="","",TEXT(B56,"aaa"))</f>
        <v>月</v>
      </c>
      <c r="D56" s="192" t="str">
        <f aca="true" t="shared" si="8" ref="D56:D61">IF(B56="","",INDEX($B$16:$F$60,MATCH(B56,$B$16:$B$60,1),3))</f>
        <v>予
備
節</v>
      </c>
      <c r="E56" s="199" t="str">
        <f aca="true" t="shared" si="9" ref="E56:E61">IF(B56="","",INDEX($B$16:$F$60,MATCH(B56,$B$16:$B$60,1),4))</f>
        <v>⑨</v>
      </c>
      <c r="M56" s="352"/>
      <c r="N56" s="382"/>
      <c r="O56" s="382"/>
      <c r="P56" s="353"/>
      <c r="Q56" s="383"/>
      <c r="R56" s="383"/>
      <c r="S56" s="353"/>
      <c r="T56" s="386"/>
      <c r="U56" s="386"/>
      <c r="V56" s="387"/>
      <c r="W56" s="387"/>
      <c r="X56" s="384"/>
      <c r="Y56" s="384"/>
      <c r="Z56" s="384"/>
      <c r="AA56" s="384"/>
      <c r="AB56" s="384"/>
      <c r="AC56" s="384"/>
      <c r="AD56" s="385"/>
      <c r="AE56" s="385"/>
      <c r="AF56" s="381"/>
      <c r="AG56" s="381"/>
      <c r="AH56" s="381"/>
      <c r="AI56" s="354"/>
    </row>
    <row r="57" spans="2:35" ht="13.5">
      <c r="B57" s="236"/>
      <c r="C57" s="111">
        <f t="shared" si="7"/>
      </c>
      <c r="D57" s="192">
        <f t="shared" si="8"/>
      </c>
      <c r="E57" s="199">
        <f t="shared" si="9"/>
      </c>
      <c r="M57" s="352"/>
      <c r="N57" s="382"/>
      <c r="O57" s="382"/>
      <c r="P57" s="353"/>
      <c r="Q57" s="383"/>
      <c r="R57" s="383"/>
      <c r="S57" s="353"/>
      <c r="T57" s="386"/>
      <c r="U57" s="386"/>
      <c r="V57" s="387"/>
      <c r="W57" s="387"/>
      <c r="X57" s="384"/>
      <c r="Y57" s="384"/>
      <c r="Z57" s="384"/>
      <c r="AA57" s="384"/>
      <c r="AB57" s="384"/>
      <c r="AC57" s="384"/>
      <c r="AD57" s="385"/>
      <c r="AE57" s="385"/>
      <c r="AF57" s="381"/>
      <c r="AG57" s="381"/>
      <c r="AH57" s="381"/>
      <c r="AI57" s="354"/>
    </row>
    <row r="58" spans="2:35" ht="13.5">
      <c r="B58" s="237"/>
      <c r="C58" s="111">
        <f t="shared" si="7"/>
      </c>
      <c r="D58" s="192">
        <f t="shared" si="8"/>
      </c>
      <c r="E58" s="199">
        <f t="shared" si="9"/>
      </c>
      <c r="M58" s="352"/>
      <c r="N58" s="382"/>
      <c r="O58" s="382"/>
      <c r="P58" s="353"/>
      <c r="Q58" s="383"/>
      <c r="R58" s="383"/>
      <c r="S58" s="353"/>
      <c r="T58" s="386"/>
      <c r="U58" s="386"/>
      <c r="V58" s="387"/>
      <c r="W58" s="387"/>
      <c r="X58" s="384"/>
      <c r="Y58" s="384"/>
      <c r="Z58" s="384"/>
      <c r="AA58" s="384"/>
      <c r="AB58" s="384"/>
      <c r="AC58" s="384"/>
      <c r="AD58" s="385"/>
      <c r="AE58" s="385"/>
      <c r="AF58" s="381"/>
      <c r="AG58" s="381"/>
      <c r="AH58" s="381"/>
      <c r="AI58" s="354"/>
    </row>
    <row r="59" spans="2:35" ht="13.5">
      <c r="B59" s="237"/>
      <c r="C59" s="111">
        <f t="shared" si="7"/>
      </c>
      <c r="D59" s="192">
        <f t="shared" si="8"/>
      </c>
      <c r="E59" s="199">
        <f t="shared" si="9"/>
      </c>
      <c r="M59" s="352"/>
      <c r="N59" s="382"/>
      <c r="O59" s="382"/>
      <c r="P59" s="353"/>
      <c r="Q59" s="383"/>
      <c r="R59" s="383"/>
      <c r="S59" s="353"/>
      <c r="T59" s="386"/>
      <c r="U59" s="386"/>
      <c r="V59" s="387"/>
      <c r="W59" s="387"/>
      <c r="X59" s="384"/>
      <c r="Y59" s="384"/>
      <c r="Z59" s="384"/>
      <c r="AA59" s="384"/>
      <c r="AB59" s="384"/>
      <c r="AC59" s="384"/>
      <c r="AD59" s="385"/>
      <c r="AE59" s="385"/>
      <c r="AF59" s="381"/>
      <c r="AG59" s="381"/>
      <c r="AH59" s="381"/>
      <c r="AI59" s="354"/>
    </row>
    <row r="60" spans="2:35" ht="13.5">
      <c r="B60" s="238"/>
      <c r="C60" s="111">
        <f t="shared" si="7"/>
      </c>
      <c r="D60" s="192">
        <f t="shared" si="8"/>
      </c>
      <c r="E60" s="199">
        <f t="shared" si="9"/>
      </c>
      <c r="L60" s="400"/>
      <c r="M60" s="352"/>
      <c r="N60" s="382"/>
      <c r="O60" s="382"/>
      <c r="P60" s="353"/>
      <c r="Q60" s="383"/>
      <c r="R60" s="383"/>
      <c r="S60" s="353"/>
      <c r="T60" s="386"/>
      <c r="U60" s="386"/>
      <c r="V60" s="387"/>
      <c r="W60" s="387"/>
      <c r="X60" s="384"/>
      <c r="Y60" s="384"/>
      <c r="Z60" s="384"/>
      <c r="AA60" s="384"/>
      <c r="AB60" s="384"/>
      <c r="AC60" s="384"/>
      <c r="AD60" s="385"/>
      <c r="AE60" s="385"/>
      <c r="AF60" s="381"/>
      <c r="AG60" s="381"/>
      <c r="AH60" s="381"/>
      <c r="AI60" s="354"/>
    </row>
    <row r="61" spans="2:35" ht="14.25" thickBot="1">
      <c r="B61" s="239"/>
      <c r="C61" s="111">
        <f t="shared" si="7"/>
      </c>
      <c r="D61" s="192">
        <f t="shared" si="8"/>
      </c>
      <c r="E61" s="199">
        <f t="shared" si="9"/>
      </c>
      <c r="L61" s="400"/>
      <c r="M61" s="352"/>
      <c r="N61" s="382"/>
      <c r="O61" s="382"/>
      <c r="P61" s="353"/>
      <c r="Q61" s="383"/>
      <c r="R61" s="383"/>
      <c r="S61" s="353"/>
      <c r="T61" s="386"/>
      <c r="U61" s="386"/>
      <c r="V61" s="387"/>
      <c r="W61" s="387"/>
      <c r="X61" s="384"/>
      <c r="Y61" s="384"/>
      <c r="Z61" s="384"/>
      <c r="AA61" s="384"/>
      <c r="AB61" s="384"/>
      <c r="AC61" s="384"/>
      <c r="AD61" s="385"/>
      <c r="AE61" s="385"/>
      <c r="AF61" s="381"/>
      <c r="AG61" s="381"/>
      <c r="AH61" s="381"/>
      <c r="AI61" s="354"/>
    </row>
    <row r="62" spans="12:35" ht="14.25" thickTop="1">
      <c r="L62" s="400"/>
      <c r="M62" s="352"/>
      <c r="N62" s="382"/>
      <c r="O62" s="382"/>
      <c r="P62" s="353"/>
      <c r="Q62" s="383"/>
      <c r="R62" s="383"/>
      <c r="S62" s="353"/>
      <c r="T62" s="386"/>
      <c r="U62" s="386"/>
      <c r="V62" s="387"/>
      <c r="W62" s="387"/>
      <c r="X62" s="384"/>
      <c r="Y62" s="384"/>
      <c r="Z62" s="384"/>
      <c r="AA62" s="384"/>
      <c r="AB62" s="384"/>
      <c r="AC62" s="384"/>
      <c r="AD62" s="385"/>
      <c r="AE62" s="385"/>
      <c r="AF62" s="381"/>
      <c r="AG62" s="381"/>
      <c r="AH62" s="381"/>
      <c r="AI62" s="354"/>
    </row>
    <row r="64" spans="1:6" ht="15" thickBot="1">
      <c r="A64" s="112" t="s">
        <v>152</v>
      </c>
      <c r="F64" t="s">
        <v>154</v>
      </c>
    </row>
    <row r="65" spans="2:28" ht="14.25" thickTop="1">
      <c r="B65" s="469" t="s">
        <v>150</v>
      </c>
      <c r="C65" s="470"/>
      <c r="D65" s="471"/>
      <c r="E65" s="450">
        <v>1</v>
      </c>
      <c r="F65" s="451"/>
      <c r="G65" s="452"/>
      <c r="H65" s="450">
        <v>2</v>
      </c>
      <c r="I65" s="451"/>
      <c r="J65" s="452"/>
      <c r="K65" s="450">
        <v>3</v>
      </c>
      <c r="L65" s="451"/>
      <c r="M65" s="452"/>
      <c r="N65" s="450">
        <v>4</v>
      </c>
      <c r="O65" s="451"/>
      <c r="P65" s="452"/>
      <c r="Q65" s="450">
        <v>5</v>
      </c>
      <c r="R65" s="451"/>
      <c r="S65" s="452"/>
      <c r="T65" s="450">
        <v>6</v>
      </c>
      <c r="U65" s="451"/>
      <c r="V65" s="452"/>
      <c r="W65" s="462"/>
      <c r="X65" s="462"/>
      <c r="Y65" s="462"/>
      <c r="Z65" s="462"/>
      <c r="AA65" s="462"/>
      <c r="AB65" s="462"/>
    </row>
    <row r="66" spans="2:28" ht="14.25" thickBot="1">
      <c r="B66" s="472" t="s">
        <v>151</v>
      </c>
      <c r="C66" s="473"/>
      <c r="D66" s="474"/>
      <c r="E66" s="463" t="str">
        <f>IF(E4="",E3,E4)</f>
        <v>松任中学校</v>
      </c>
      <c r="F66" s="464"/>
      <c r="G66" s="464"/>
      <c r="H66" s="465" t="str">
        <f>IF(H4="",H3,H4)</f>
        <v>ＦＣ小松</v>
      </c>
      <c r="I66" s="464"/>
      <c r="J66" s="466"/>
      <c r="K66" s="464" t="str">
        <f>IF(K4="",K3,K4)</f>
        <v>河北台ＳＣ</v>
      </c>
      <c r="L66" s="464"/>
      <c r="M66" s="464"/>
      <c r="N66" s="465" t="str">
        <f>IF(N4="",N3,N4)</f>
        <v>FC.SOUTHERN</v>
      </c>
      <c r="O66" s="464"/>
      <c r="P66" s="466"/>
      <c r="Q66" s="465" t="str">
        <f>IF(Q4="",Q3,Q4)</f>
        <v>根上中学校</v>
      </c>
      <c r="R66" s="464"/>
      <c r="S66" s="466"/>
      <c r="T66" s="465" t="str">
        <f>IF(T4="",T3,T4)</f>
        <v>ＦＣ．ＴＯＮ</v>
      </c>
      <c r="U66" s="464"/>
      <c r="V66" s="466"/>
      <c r="W66" s="482"/>
      <c r="X66" s="482"/>
      <c r="Y66" s="482"/>
      <c r="Z66" s="482"/>
      <c r="AA66" s="482"/>
      <c r="AB66" s="482"/>
    </row>
    <row r="67" spans="1:28" ht="14.25" thickTop="1">
      <c r="A67">
        <v>1</v>
      </c>
      <c r="B67" s="475" t="str">
        <f>IF(E66="",A67,E66)</f>
        <v>松任中学校</v>
      </c>
      <c r="C67" s="476"/>
      <c r="D67" s="477"/>
      <c r="E67" s="478"/>
      <c r="F67" s="479"/>
      <c r="G67" s="480"/>
      <c r="H67" s="306" t="str">
        <f>IF(COUNTIF($N$16:$N$62,VALUE($A67&amp;H$65&amp;1))=0,"",IF(COUNTIF($N$16:$N$62,VALUE($A67&amp;H$65&amp;1))=1,INDEX($N$16:$W$62,MATCH(VALUE($A67&amp;H$65&amp;1),$N$16:$N$62,0),3),"NG"))</f>
        <v>⑥</v>
      </c>
      <c r="I67" s="307">
        <f>IF(H67="","",IF(H67="NG","",INDEX($N$16:$W$62,MATCH(VALUE($A67&amp;H$65&amp;1),$N$16:$N$62,0),4)))</f>
        <v>41819</v>
      </c>
      <c r="J67" s="241" t="str">
        <f>IF(I67="","",IF(I67="NG","",INDEX($N$16:$W$62,MATCH(VALUE($A67&amp;H$65&amp;1),$N$16:$N$62,0),7)))</f>
        <v>松任公園Ｇ</v>
      </c>
      <c r="K67" s="306" t="str">
        <f>IF(COUNTIF($N$16:$N$62,VALUE($A67&amp;K$65&amp;1))=0,"",IF(COUNTIF($N$16:$N$62,VALUE($A67&amp;K$65&amp;1))=1,INDEX($N$16:$W$62,MATCH(VALUE($A67&amp;K$65&amp;1),$N$16:$N$62,0),3),"NG"))</f>
        <v>⑤</v>
      </c>
      <c r="L67" s="307">
        <f>IF(K67="","",IF(K67="NG","",INDEX($N$16:$W$62,MATCH(VALUE($A67&amp;K$65&amp;1),$N$16:$N$62,0),4)))</f>
        <v>41791</v>
      </c>
      <c r="M67" s="241" t="str">
        <f>IF(L67="","",IF(L67="NG","",INDEX($N$16:$W$62,MATCH(VALUE($A67&amp;K$65&amp;1),$N$16:$N$62,0),7)))</f>
        <v>松任中Ｇ</v>
      </c>
      <c r="N67" s="306" t="str">
        <f>IF(COUNTIF($N$16:$N$62,VALUE($A67&amp;N$65&amp;1))=0,"",IF(COUNTIF($N$16:$N$62,VALUE($A67&amp;N$65&amp;1))=1,INDEX($N$16:$W$62,MATCH(VALUE($A67&amp;N$65&amp;1),$N$16:$N$62,0),3),"NG"))</f>
        <v>⑤</v>
      </c>
      <c r="O67" s="307">
        <f>IF(N67="","",IF(N67="NG","",INDEX($N$16:$W$62,MATCH(VALUE($A67&amp;N$65&amp;1),$N$16:$N$62,0),4)))</f>
        <v>41797</v>
      </c>
      <c r="P67" s="241" t="str">
        <f>IF(O67="","",IF(O67="NG","",INDEX($N$16:$W$62,MATCH(VALUE($A67&amp;N$65&amp;1),$N$16:$N$62,0),7)))</f>
        <v>高岡中Ｇ</v>
      </c>
      <c r="Q67" s="306" t="str">
        <f>IF(COUNTIF($N$16:$N$62,VALUE($A67&amp;Q$65&amp;1))=0,"",IF(COUNTIF($N$16:$N$62,VALUE($A67&amp;Q$65&amp;1))=1,INDEX($N$16:$W$62,MATCH(VALUE($A67&amp;Q$65&amp;1),$N$16:$N$62,0),3),"NG"))</f>
        <v>⑤</v>
      </c>
      <c r="R67" s="307">
        <f>IF(Q67="","",IF(Q67="NG","",INDEX($N$16:$W$62,MATCH(VALUE($A67&amp;Q$65&amp;1),$N$16:$N$62,0),4)))</f>
        <v>41804</v>
      </c>
      <c r="S67" s="241" t="str">
        <f>IF(R67="","",IF(R67="NG","",INDEX($N$16:$W$62,MATCH(VALUE($A67&amp;Q$65&amp;1),$N$16:$N$62,0),7)))</f>
        <v>安原</v>
      </c>
      <c r="T67" s="306" t="str">
        <f>IF(COUNTIF($N$16:$N$62,VALUE($A67&amp;T$65&amp;1))=0,"",IF(COUNTIF($N$16:$N$62,VALUE($A67&amp;T$65&amp;1))=1,INDEX($N$16:$W$62,MATCH(VALUE($A67&amp;T$65&amp;1),$N$16:$N$62,0),3),"NG"))</f>
        <v>⑦</v>
      </c>
      <c r="U67" s="307">
        <f>IF(T67="","",IF(T67="NG","",INDEX($N$16:$W$62,MATCH(VALUE($A67&amp;T$65&amp;1),$N$16:$N$62,0),4)))</f>
        <v>41833</v>
      </c>
      <c r="V67" s="241" t="str">
        <f>IF(U67="","",IF(U67="NG","",INDEX($N$16:$W$62,MATCH(VALUE($A67&amp;T$65&amp;1),$N$16:$N$62,0),7)))</f>
        <v>松任中Ｇ</v>
      </c>
      <c r="W67" s="355"/>
      <c r="X67" s="322"/>
      <c r="Y67" s="323"/>
      <c r="Z67" s="355"/>
      <c r="AA67" s="322"/>
      <c r="AB67" s="323"/>
    </row>
    <row r="68" spans="2:28" ht="13.5">
      <c r="B68" s="453"/>
      <c r="C68" s="454"/>
      <c r="D68" s="455"/>
      <c r="E68" s="481"/>
      <c r="F68" s="467"/>
      <c r="G68" s="468"/>
      <c r="H68" s="308" t="str">
        <f>IF(COUNTIF($N$16:$N$62,VALUE($A67&amp;H$65&amp;2))=0,"",IF(COUNTIF($N$16:$N$62,VALUE($A67&amp;H$65&amp;2))=1,INDEX($N$16:$W$62,MATCH(VALUE($A67&amp;H$65&amp;2),$N$16:$N$62,0),3),"NG"))</f>
        <v>⑬</v>
      </c>
      <c r="I68" s="309">
        <f>IF(H68="","",IF(H68="NG","",INDEX($N$16:$W$62,MATCH(VALUE($A67&amp;H$65&amp;2),$N$16:$N$62,0),4)))</f>
        <v>41930</v>
      </c>
      <c r="J68" s="243" t="str">
        <f>IF(I68="","",IF(I68="NG","",INDEX($N$16:$W$62,MATCH(VALUE($A67&amp;H$65&amp;2),$N$16:$N$62,0),7)))</f>
        <v>松任中Ｇ</v>
      </c>
      <c r="K68" s="308" t="str">
        <f>IF(COUNTIF($N$16:$N$62,VALUE($A67&amp;K$65&amp;2))=0,"",IF(COUNTIF($N$16:$N$62,VALUE($A67&amp;K$65&amp;2))=1,INDEX($N$16:$W$62,MATCH(VALUE($A67&amp;K$65&amp;2),$N$16:$N$62,0),3),"NG"))</f>
        <v>⑬</v>
      </c>
      <c r="L68" s="309">
        <f>IF(K68="","",IF(K68="NG","",INDEX($N$16:$W$62,MATCH(VALUE($A67&amp;K$65&amp;2),$N$16:$N$62,0),4)))</f>
        <v>41938</v>
      </c>
      <c r="M68" s="243" t="str">
        <f>IF(L68="","",IF(L68="NG","",INDEX($N$16:$W$62,MATCH(VALUE($A67&amp;K$65&amp;2),$N$16:$N$62,0),7)))</f>
        <v>松任公園Ｇ</v>
      </c>
      <c r="N68" s="308" t="str">
        <f>IF(COUNTIF($N$16:$N$62,VALUE($A67&amp;N$65&amp;2))=0,"",IF(COUNTIF($N$16:$N$62,VALUE($A67&amp;N$65&amp;2))=1,INDEX($N$16:$W$62,MATCH(VALUE($A67&amp;N$65&amp;2),$N$16:$N$62,0),3),"NG"))</f>
        <v>⑨</v>
      </c>
      <c r="O68" s="309">
        <f>IF(N68="","",IF(N68="NG","",INDEX($N$16:$W$62,MATCH(VALUE($A67&amp;N$65&amp;2),$N$16:$N$62,0),4)))</f>
        <v>41860</v>
      </c>
      <c r="P68" s="243" t="str">
        <f>IF(O68="","",IF(O68="NG","",INDEX($N$16:$W$62,MATCH(VALUE($A67&amp;N$65&amp;2),$N$16:$N$62,0),7)))</f>
        <v>松任中Ｇ</v>
      </c>
      <c r="Q68" s="308" t="str">
        <f>IF(COUNTIF($N$16:$N$62,VALUE($A67&amp;Q$65&amp;2))=0,"",IF(COUNTIF($N$16:$N$62,VALUE($A67&amp;Q$65&amp;2))=1,INDEX($N$16:$W$62,MATCH(VALUE($A67&amp;Q$65&amp;2),$N$16:$N$62,0),3),"NG"))</f>
        <v>⑩</v>
      </c>
      <c r="R68" s="309">
        <f>IF(Q68="","",IF(Q68="NG","",INDEX($N$16:$W$62,MATCH(VALUE($A67&amp;Q$65&amp;2),$N$16:$N$62,0),4)))</f>
        <v>41888</v>
      </c>
      <c r="S68" s="243" t="str">
        <f>IF(R68="","",IF(R68="NG","",INDEX($N$16:$W$62,MATCH(VALUE($A67&amp;Q$65&amp;2),$N$16:$N$62,0),7)))</f>
        <v>北星中Ｇ</v>
      </c>
      <c r="T68" s="308" t="str">
        <f>IF(COUNTIF($N$16:$N$62,VALUE($A67&amp;T$65&amp;2))=0,"",IF(COUNTIF($N$16:$N$62,VALUE($A67&amp;T$65&amp;2))=1,INDEX($N$16:$W$62,MATCH(VALUE($A67&amp;T$65&amp;2),$N$16:$N$62,0),3),"NG"))</f>
        <v>⑧</v>
      </c>
      <c r="U68" s="309">
        <f>IF(T68="","",IF(T68="NG","",INDEX($N$16:$W$62,MATCH(VALUE($A67&amp;T$65&amp;2),$N$16:$N$62,0),4)))</f>
        <v>41847</v>
      </c>
      <c r="V68" s="243" t="str">
        <f>IF(U68="","",IF(U68="NG","",INDEX($N$16:$W$62,MATCH(VALUE($A67&amp;T$65&amp;2),$N$16:$N$62,0),7)))</f>
        <v>松任中Ｇ</v>
      </c>
      <c r="W68" s="355"/>
      <c r="X68" s="322"/>
      <c r="Y68" s="323"/>
      <c r="Z68" s="355"/>
      <c r="AA68" s="322"/>
      <c r="AB68" s="323"/>
    </row>
    <row r="69" spans="1:28" ht="13.5">
      <c r="A69">
        <v>2</v>
      </c>
      <c r="B69" s="453" t="str">
        <f>IF(H66="",A69,H66)</f>
        <v>ＦＣ小松</v>
      </c>
      <c r="C69" s="454"/>
      <c r="D69" s="455"/>
      <c r="E69" s="310" t="str">
        <f aca="true" t="shared" si="10" ref="E69:G70">IF(H67="","",H67)</f>
        <v>⑥</v>
      </c>
      <c r="F69" s="311">
        <f t="shared" si="10"/>
        <v>41819</v>
      </c>
      <c r="G69" s="312" t="str">
        <f t="shared" si="10"/>
        <v>松任公園Ｇ</v>
      </c>
      <c r="H69" s="456"/>
      <c r="I69" s="457"/>
      <c r="J69" s="458"/>
      <c r="K69" s="313" t="str">
        <f>IF(COUNTIF($N$16:$N$62,VALUE($A69&amp;K$65&amp;1))=0,"",IF(COUNTIF($N$16:$N$62,VALUE($A69&amp;K$65&amp;1))=1,INDEX($N$16:$W$62,MATCH(VALUE($A69&amp;K$65&amp;1),$N$16:$N$62,0),3),"NG"))</f>
        <v>⑥</v>
      </c>
      <c r="L69" s="314">
        <f>IF(K69="","",IF(K69="NG","",INDEX($N$16:$W$62,MATCH(VALUE($A69&amp;K$65&amp;1),$N$16:$N$62,0),4)))</f>
        <v>41818</v>
      </c>
      <c r="M69" s="244" t="str">
        <f>IF(L69="","",IF(L69="NG","",INDEX($N$16:$W$62,MATCH(VALUE($A69&amp;K$65&amp;1),$N$16:$N$62,0),7)))</f>
        <v>北部公園Ｇ</v>
      </c>
      <c r="N69" s="315" t="str">
        <f>IF(COUNTIF($N$16:$N$62,VALUE($A69&amp;N$65&amp;1))=0,"",IF(COUNTIF($N$16:$N$62,VALUE($A69&amp;N$65&amp;1))=1,INDEX($N$16:$W$62,MATCH(VALUE($A69&amp;N$65&amp;1),$N$16:$N$62,0),3),"NG"))</f>
        <v>⑤</v>
      </c>
      <c r="O69" s="314">
        <f>IF(N69="","",IF(N69="NG","",INDEX($N$16:$W$62,MATCH(VALUE($A69&amp;N$65&amp;1),$N$16:$N$62,0),4)))</f>
        <v>41790</v>
      </c>
      <c r="P69" s="244" t="str">
        <f>IF(O69="","",IF(O69="NG","",INDEX($N$16:$W$62,MATCH(VALUE($A69&amp;N$65&amp;1),$N$16:$N$62,0),7)))</f>
        <v>ドーム</v>
      </c>
      <c r="Q69" s="315" t="str">
        <f>IF(COUNTIF($N$16:$N$62,VALUE($A69&amp;Q$65&amp;1))=0,"",IF(COUNTIF($N$16:$N$62,VALUE($A69&amp;Q$65&amp;1))=1,INDEX($N$16:$W$62,MATCH(VALUE($A69&amp;Q$65&amp;1),$N$16:$N$62,0),3),"NG"))</f>
        <v>④</v>
      </c>
      <c r="R69" s="314">
        <f>IF(Q69="","",IF(Q69="NG","",INDEX($N$16:$W$62,MATCH(VALUE($A69&amp;Q$65&amp;1),$N$16:$N$62,0),4)))</f>
        <v>41784</v>
      </c>
      <c r="S69" s="244" t="str">
        <f>IF(R69="","",IF(R69="NG","",INDEX($N$16:$W$62,MATCH(VALUE($A69&amp;Q$65&amp;1),$N$16:$N$62,0),7)))</f>
        <v>ドーム</v>
      </c>
      <c r="T69" s="315" t="str">
        <f>IF(COUNTIF($N$16:$N$62,VALUE($A69&amp;T$65&amp;1))=0,"",IF(COUNTIF($N$16:$N$62,VALUE($A69&amp;T$65&amp;1))=1,INDEX($N$16:$W$62,MATCH(VALUE($A69&amp;T$65&amp;1),$N$16:$N$62,0),3),"NG"))</f>
        <v>④</v>
      </c>
      <c r="U69" s="314">
        <f>IF(T69="","",IF(T69="NG","",INDEX($N$16:$W$62,MATCH(VALUE($A69&amp;T$65&amp;1),$N$16:$N$62,0),4)))</f>
        <v>41783</v>
      </c>
      <c r="V69" s="244" t="str">
        <f>IF(U69="","",IF(U69="NG","",INDEX($N$16:$W$62,MATCH(VALUE($A69&amp;T$65&amp;1),$N$16:$N$62,0),7)))</f>
        <v>ドーム</v>
      </c>
      <c r="W69" s="355"/>
      <c r="X69" s="322"/>
      <c r="Y69" s="323"/>
      <c r="Z69" s="355"/>
      <c r="AA69" s="322"/>
      <c r="AB69" s="323"/>
    </row>
    <row r="70" spans="2:28" ht="13.5">
      <c r="B70" s="453"/>
      <c r="C70" s="454"/>
      <c r="D70" s="455"/>
      <c r="E70" s="316" t="str">
        <f t="shared" si="10"/>
        <v>⑬</v>
      </c>
      <c r="F70" s="317">
        <f t="shared" si="10"/>
        <v>41930</v>
      </c>
      <c r="G70" s="318" t="str">
        <f t="shared" si="10"/>
        <v>松任中Ｇ</v>
      </c>
      <c r="H70" s="459"/>
      <c r="I70" s="460"/>
      <c r="J70" s="461"/>
      <c r="K70" s="319" t="str">
        <f>IF(COUNTIF($N$16:$N$62,VALUE($A69&amp;K$65&amp;2))=0,"",IF(COUNTIF($N$16:$N$62,VALUE($A69&amp;K$65&amp;2))=1,INDEX($N$16:$W$62,MATCH(VALUE($A69&amp;K$65&amp;2),$N$16:$N$62,0),3),"NG"))</f>
        <v>⑨</v>
      </c>
      <c r="L70" s="317">
        <f>IF(K70="","",IF(K70="NG","",INDEX($N$16:$W$62,MATCH(VALUE($A69&amp;K$65&amp;2),$N$16:$N$62,0),4)))</f>
        <v>41860</v>
      </c>
      <c r="M70" s="242" t="str">
        <f>IF(L70="","",IF(L70="NG","",INDEX($N$16:$W$62,MATCH(VALUE($A69&amp;K$65&amp;2),$N$16:$N$62,0),7)))</f>
        <v>松任中Ｇ</v>
      </c>
      <c r="N70" s="320" t="str">
        <f>IF(COUNTIF($N$16:$N$62,VALUE($A69&amp;N$65&amp;2))=0,"",IF(COUNTIF($N$16:$N$62,VALUE($A69&amp;N$65&amp;2))=1,INDEX($N$16:$W$62,MATCH(VALUE($A69&amp;N$65&amp;2),$N$16:$N$62,0),3),"NG"))</f>
        <v>⑪</v>
      </c>
      <c r="O70" s="317">
        <f>IF(N70="","",IF(N70="NG","",INDEX($N$16:$W$62,MATCH(VALUE($A69&amp;N$65&amp;2),$N$16:$N$62,0),4)))</f>
        <v>41909</v>
      </c>
      <c r="P70" s="242" t="str">
        <f>IF(O70="","",IF(O70="NG","",INDEX($N$16:$W$62,MATCH(VALUE($A69&amp;N$65&amp;2),$N$16:$N$62,0),7)))</f>
        <v>能登島Ｂ</v>
      </c>
      <c r="Q70" s="320" t="str">
        <f>IF(COUNTIF($N$16:$N$62,VALUE($A69&amp;Q$65&amp;2))=0,"",IF(COUNTIF($N$16:$N$62,VALUE($A69&amp;Q$65&amp;2))=1,INDEX($N$16:$W$62,MATCH(VALUE($A69&amp;Q$65&amp;2),$N$16:$N$62,0),3),"NG"))</f>
        <v>⑫</v>
      </c>
      <c r="R70" s="317">
        <f>IF(Q70="","",IF(Q70="NG","",INDEX($N$16:$W$62,MATCH(VALUE($A69&amp;Q$65&amp;2),$N$16:$N$62,0),4)))</f>
        <v>41916</v>
      </c>
      <c r="S70" s="242" t="str">
        <f>IF(R70="","",IF(R70="NG","",INDEX($N$16:$W$62,MATCH(VALUE($A69&amp;Q$65&amp;2),$N$16:$N$62,0),7)))</f>
        <v>松任公園Ｇ</v>
      </c>
      <c r="T70" s="320" t="str">
        <f>IF(COUNTIF($N$16:$N$62,VALUE($A69&amp;T$65&amp;2))=0,"",IF(COUNTIF($N$16:$N$62,VALUE($A69&amp;T$65&amp;2))=1,INDEX($N$16:$W$62,MATCH(VALUE($A69&amp;T$65&amp;2),$N$16:$N$62,0),3),"NG"))</f>
        <v>⑫</v>
      </c>
      <c r="U70" s="317">
        <f>IF(T70="","",IF(T70="NG","",INDEX($N$16:$W$62,MATCH(VALUE($A69&amp;T$65&amp;2),$N$16:$N$62,0),4)))</f>
        <v>41916</v>
      </c>
      <c r="V70" s="242" t="str">
        <f>IF(U70="","",IF(U70="NG","",INDEX($N$16:$W$62,MATCH(VALUE($A69&amp;T$65&amp;2),$N$16:$N$62,0),7)))</f>
        <v>松任公園Ｇ</v>
      </c>
      <c r="W70" s="355"/>
      <c r="X70" s="322"/>
      <c r="Y70" s="323"/>
      <c r="Z70" s="355"/>
      <c r="AA70" s="322"/>
      <c r="AB70" s="323"/>
    </row>
    <row r="71" spans="1:28" ht="13.5">
      <c r="A71">
        <v>3</v>
      </c>
      <c r="B71" s="453" t="str">
        <f>IF(K66="",A71,K66)</f>
        <v>河北台ＳＣ</v>
      </c>
      <c r="C71" s="454"/>
      <c r="D71" s="455"/>
      <c r="E71" s="321" t="str">
        <f aca="true" t="shared" si="11" ref="E71:G72">IF(K67="","",K67)</f>
        <v>⑤</v>
      </c>
      <c r="F71" s="322">
        <f t="shared" si="11"/>
        <v>41791</v>
      </c>
      <c r="G71" s="323" t="str">
        <f t="shared" si="11"/>
        <v>松任中Ｇ</v>
      </c>
      <c r="H71" s="324" t="str">
        <f aca="true" t="shared" si="12" ref="H71:J72">IF(K69="","",K69)</f>
        <v>⑥</v>
      </c>
      <c r="I71" s="322">
        <f t="shared" si="12"/>
        <v>41818</v>
      </c>
      <c r="J71" s="325" t="str">
        <f t="shared" si="12"/>
        <v>北部公園Ｇ</v>
      </c>
      <c r="K71" s="467"/>
      <c r="L71" s="467"/>
      <c r="M71" s="468"/>
      <c r="N71" s="326" t="str">
        <f>IF(COUNTIF($N$16:$N$62,VALUE($A71&amp;N$65&amp;1))=0,"",IF(COUNTIF($N$16:$N$62,VALUE($A71&amp;N$65&amp;1))=1,INDEX($N$16:$W$62,MATCH(VALUE($A71&amp;N$65&amp;1),$N$16:$N$62,0),3),"NG"))</f>
        <v>④</v>
      </c>
      <c r="O71" s="327">
        <f>IF(N71="","",IF(N71="NG","",INDEX($N$16:$W$62,MATCH(VALUE($A71&amp;N$65&amp;1),$N$16:$N$62,0),4)))</f>
        <v>41784</v>
      </c>
      <c r="P71" s="245" t="str">
        <f>IF(O71="","",IF(O71="NG","",INDEX($N$16:$W$62,MATCH(VALUE($A71&amp;N$65&amp;1),$N$16:$N$62,0),7)))</f>
        <v>ドーム</v>
      </c>
      <c r="Q71" s="326" t="str">
        <f>IF(COUNTIF($N$16:$N$62,VALUE($A71&amp;Q$65&amp;1))=0,"",IF(COUNTIF($N$16:$N$62,VALUE($A71&amp;Q$65&amp;1))=1,INDEX($N$16:$W$62,MATCH(VALUE($A71&amp;Q$65&amp;1),$N$16:$N$62,0),3),"NG"))</f>
        <v>④</v>
      </c>
      <c r="R71" s="327">
        <f>IF(Q71="","",IF(Q71="NG","",INDEX($N$16:$W$62,MATCH(VALUE($A71&amp;Q$65&amp;1),$N$16:$N$62,0),4)))</f>
        <v>41783</v>
      </c>
      <c r="S71" s="245" t="str">
        <f>IF(R71="","",IF(R71="NG","",INDEX($N$16:$W$62,MATCH(VALUE($A71&amp;Q$65&amp;1),$N$16:$N$62,0),7)))</f>
        <v>ドーム</v>
      </c>
      <c r="T71" s="326" t="str">
        <f>IF(COUNTIF($N$16:$N$62,VALUE($A71&amp;T$65&amp;1))=0,"",IF(COUNTIF($N$16:$N$62,VALUE($A71&amp;T$65&amp;1))=1,INDEX($N$16:$W$62,MATCH(VALUE($A71&amp;T$65&amp;1),$N$16:$N$62,0),3),"NG"))</f>
        <v>⑦</v>
      </c>
      <c r="U71" s="327">
        <f>IF(T71="","",IF(T71="NG","",INDEX($N$16:$W$62,MATCH(VALUE($A71&amp;T$65&amp;1),$N$16:$N$62,0),4)))</f>
        <v>41826</v>
      </c>
      <c r="V71" s="245" t="str">
        <f>IF(U71="","",IF(U71="NG","",INDEX($N$16:$W$62,MATCH(VALUE($A71&amp;T$65&amp;1),$N$16:$N$62,0),7)))</f>
        <v>北星中Ｇ</v>
      </c>
      <c r="W71" s="355"/>
      <c r="X71" s="322"/>
      <c r="Y71" s="323"/>
      <c r="Z71" s="355"/>
      <c r="AA71" s="322"/>
      <c r="AB71" s="323"/>
    </row>
    <row r="72" spans="2:28" ht="13.5">
      <c r="B72" s="453"/>
      <c r="C72" s="454"/>
      <c r="D72" s="455"/>
      <c r="E72" s="316" t="str">
        <f t="shared" si="11"/>
        <v>⑬</v>
      </c>
      <c r="F72" s="317">
        <f t="shared" si="11"/>
        <v>41938</v>
      </c>
      <c r="G72" s="318" t="str">
        <f t="shared" si="11"/>
        <v>松任公園Ｇ</v>
      </c>
      <c r="H72" s="320" t="str">
        <f t="shared" si="12"/>
        <v>⑨</v>
      </c>
      <c r="I72" s="317">
        <f t="shared" si="12"/>
        <v>41860</v>
      </c>
      <c r="J72" s="242" t="str">
        <f t="shared" si="12"/>
        <v>松任中Ｇ</v>
      </c>
      <c r="K72" s="460"/>
      <c r="L72" s="460"/>
      <c r="M72" s="461"/>
      <c r="N72" s="320" t="str">
        <f>IF(COUNTIF($N$16:$N$62,VALUE($A71&amp;N$65&amp;2))=0,"",IF(COUNTIF($N$16:$N$62,VALUE($A71&amp;N$65&amp;2))=1,INDEX($N$16:$W$62,MATCH(VALUE($A71&amp;N$65&amp;2),$N$16:$N$62,0),3),"NG"))</f>
        <v>⑧</v>
      </c>
      <c r="O72" s="317">
        <f>IF(N72="","",IF(N72="NG","",INDEX($N$16:$W$62,MATCH(VALUE($A71&amp;N$65&amp;2),$N$16:$N$62,0),4)))</f>
        <v>41847</v>
      </c>
      <c r="P72" s="242" t="str">
        <f>IF(O72="","",IF(O72="NG","",INDEX($N$16:$W$62,MATCH(VALUE($A71&amp;N$65&amp;2),$N$16:$N$62,0),7)))</f>
        <v>松任中Ｇ</v>
      </c>
      <c r="Q72" s="320" t="str">
        <f>IF(COUNTIF($N$16:$N$62,VALUE($A71&amp;Q$65&amp;2))=0,"",IF(COUNTIF($N$16:$N$62,VALUE($A71&amp;Q$65&amp;2))=1,INDEX($N$16:$W$62,MATCH(VALUE($A71&amp;Q$65&amp;2),$N$16:$N$62,0),3),"NG"))</f>
        <v>⑩</v>
      </c>
      <c r="R72" s="317">
        <f>IF(Q72="","",IF(Q72="NG","",INDEX($N$16:$W$62,MATCH(VALUE($A71&amp;Q$65&amp;2),$N$16:$N$62,0),4)))</f>
        <v>41895</v>
      </c>
      <c r="S72" s="242" t="str">
        <f>IF(R72="","",IF(R72="NG","",INDEX($N$16:$W$62,MATCH(VALUE($A71&amp;Q$65&amp;2),$N$16:$N$62,0),7)))</f>
        <v>野田中Ｇ</v>
      </c>
      <c r="T72" s="320" t="str">
        <f>IF(COUNTIF($N$16:$N$62,VALUE($A71&amp;T$65&amp;2))=0,"",IF(COUNTIF($N$16:$N$62,VALUE($A71&amp;T$65&amp;2))=1,INDEX($N$16:$W$62,MATCH(VALUE($A71&amp;T$65&amp;2),$N$16:$N$62,0),3),"NG"))</f>
        <v>⑪</v>
      </c>
      <c r="U72" s="317">
        <f>IF(T72="","",IF(T72="NG","",INDEX($N$16:$W$62,MATCH(VALUE($A71&amp;T$65&amp;2),$N$16:$N$62,0),4)))</f>
        <v>41909</v>
      </c>
      <c r="V72" s="242" t="str">
        <f>IF(U72="","",IF(U72="NG","",INDEX($N$16:$W$62,MATCH(VALUE($A71&amp;T$65&amp;2),$N$16:$N$62,0),7)))</f>
        <v>金沢市営</v>
      </c>
      <c r="W72" s="355"/>
      <c r="X72" s="322"/>
      <c r="Y72" s="323"/>
      <c r="Z72" s="355"/>
      <c r="AA72" s="322"/>
      <c r="AB72" s="323"/>
    </row>
    <row r="73" spans="1:28" ht="13.5">
      <c r="A73">
        <v>4</v>
      </c>
      <c r="B73" s="453" t="str">
        <f>IF(N66="",A73,N66)</f>
        <v>FC.SOUTHERN</v>
      </c>
      <c r="C73" s="454"/>
      <c r="D73" s="455"/>
      <c r="E73" s="310" t="str">
        <f aca="true" t="shared" si="13" ref="E73:G74">IF(N67="","",N67)</f>
        <v>⑤</v>
      </c>
      <c r="F73" s="311">
        <f t="shared" si="13"/>
        <v>41797</v>
      </c>
      <c r="G73" s="312" t="str">
        <f t="shared" si="13"/>
        <v>高岡中Ｇ</v>
      </c>
      <c r="H73" s="328" t="str">
        <f aca="true" t="shared" si="14" ref="H73:J74">IF(N69="","",N69)</f>
        <v>⑤</v>
      </c>
      <c r="I73" s="311">
        <f t="shared" si="14"/>
        <v>41790</v>
      </c>
      <c r="J73" s="329" t="str">
        <f t="shared" si="14"/>
        <v>ドーム</v>
      </c>
      <c r="K73" s="330" t="str">
        <f aca="true" t="shared" si="15" ref="K73:M74">IF(N71="","",N71)</f>
        <v>④</v>
      </c>
      <c r="L73" s="311">
        <f t="shared" si="15"/>
        <v>41784</v>
      </c>
      <c r="M73" s="329" t="str">
        <f t="shared" si="15"/>
        <v>ドーム</v>
      </c>
      <c r="N73" s="456"/>
      <c r="O73" s="457"/>
      <c r="P73" s="458"/>
      <c r="Q73" s="315" t="str">
        <f>IF(COUNTIF($N$16:$N$62,VALUE($A73&amp;Q$65&amp;1))=0,"",IF(COUNTIF($N$16:$N$62,VALUE($A73&amp;Q$65&amp;1))=1,INDEX($N$16:$W$62,MATCH(VALUE($A73&amp;Q$65&amp;1),$N$16:$N$62,0),3),"NG"))</f>
        <v>⑤</v>
      </c>
      <c r="R73" s="314">
        <f>IF(Q73="","",IF(Q73="NG","",INDEX($N$16:$W$62,MATCH(VALUE($A73&amp;Q$65&amp;1),$N$16:$N$62,0),4)))</f>
        <v>41791</v>
      </c>
      <c r="S73" s="244" t="str">
        <f>IF(R73="","",IF(R73="NG","",INDEX($N$16:$W$62,MATCH(VALUE($A73&amp;Q$65&amp;1),$N$16:$N$62,0),7)))</f>
        <v>松任中Ｇ</v>
      </c>
      <c r="T73" s="315" t="str">
        <f>IF(COUNTIF($N$16:$N$62,VALUE($A73&amp;T$65&amp;1))=0,"",IF(COUNTIF($N$16:$N$62,VALUE($A73&amp;T$65&amp;1))=1,INDEX($N$16:$W$62,MATCH(VALUE($A73&amp;T$65&amp;1),$N$16:$N$62,0),3),"NG"))</f>
        <v>⑥</v>
      </c>
      <c r="U73" s="314">
        <f>IF(T73="","",IF(T73="NG","",INDEX($N$16:$W$62,MATCH(VALUE($A73&amp;T$65&amp;1),$N$16:$N$62,0),4)))</f>
        <v>41818</v>
      </c>
      <c r="V73" s="244" t="str">
        <f>IF(U73="","",IF(U73="NG","",INDEX($N$16:$W$62,MATCH(VALUE($A73&amp;T$65&amp;1),$N$16:$N$62,0),7)))</f>
        <v>北部公園Ｇ</v>
      </c>
      <c r="W73" s="355"/>
      <c r="X73" s="322"/>
      <c r="Y73" s="323"/>
      <c r="Z73" s="355"/>
      <c r="AA73" s="322"/>
      <c r="AB73" s="323"/>
    </row>
    <row r="74" spans="2:28" ht="13.5">
      <c r="B74" s="453"/>
      <c r="C74" s="454"/>
      <c r="D74" s="455"/>
      <c r="E74" s="316" t="str">
        <f t="shared" si="13"/>
        <v>⑨</v>
      </c>
      <c r="F74" s="317">
        <f t="shared" si="13"/>
        <v>41860</v>
      </c>
      <c r="G74" s="318" t="str">
        <f t="shared" si="13"/>
        <v>松任中Ｇ</v>
      </c>
      <c r="H74" s="320" t="str">
        <f t="shared" si="14"/>
        <v>⑪</v>
      </c>
      <c r="I74" s="317">
        <f t="shared" si="14"/>
        <v>41909</v>
      </c>
      <c r="J74" s="242" t="str">
        <f t="shared" si="14"/>
        <v>能登島Ｂ</v>
      </c>
      <c r="K74" s="319" t="str">
        <f t="shared" si="15"/>
        <v>⑧</v>
      </c>
      <c r="L74" s="317">
        <f t="shared" si="15"/>
        <v>41847</v>
      </c>
      <c r="M74" s="242" t="str">
        <f t="shared" si="15"/>
        <v>松任中Ｇ</v>
      </c>
      <c r="N74" s="459"/>
      <c r="O74" s="460"/>
      <c r="P74" s="461"/>
      <c r="Q74" s="320" t="str">
        <f>IF(COUNTIF($N$16:$N$62,VALUE($A73&amp;Q$65&amp;2))=0,"",IF(COUNTIF($N$16:$N$62,VALUE($A73&amp;Q$65&amp;2))=1,INDEX($N$16:$W$62,MATCH(VALUE($A73&amp;Q$65&amp;2),$N$16:$N$62,0),3),"NG"))</f>
        <v>⑬</v>
      </c>
      <c r="R74" s="317">
        <f>IF(Q74="","",IF(Q74="NG","",INDEX($N$16:$W$62,MATCH(VALUE($A73&amp;Q$65&amp;2),$N$16:$N$62,0),4)))</f>
        <v>41930</v>
      </c>
      <c r="S74" s="242" t="str">
        <f>IF(R74="","",IF(R74="NG","",INDEX($N$16:$W$62,MATCH(VALUE($A73&amp;Q$65&amp;2),$N$16:$N$62,0),7)))</f>
        <v>松任中Ｇ</v>
      </c>
      <c r="T74" s="320" t="str">
        <f>IF(COUNTIF($N$16:$N$62,VALUE($A73&amp;T$65&amp;2))=0,"",IF(COUNTIF($N$16:$N$62,VALUE($A73&amp;T$65&amp;2))=1,INDEX($N$16:$W$62,MATCH(VALUE($A73&amp;T$65&amp;2),$N$16:$N$62,0),3),"NG"))</f>
        <v>⑫</v>
      </c>
      <c r="U74" s="317">
        <f>IF(T74="","",IF(T74="NG","",INDEX($N$16:$W$62,MATCH(VALUE($A73&amp;T$65&amp;2),$N$16:$N$62,0),4)))</f>
        <v>41916</v>
      </c>
      <c r="V74" s="242" t="str">
        <f>IF(U74="","",IF(U74="NG","",INDEX($N$16:$W$62,MATCH(VALUE($A73&amp;T$65&amp;2),$N$16:$N$62,0),7)))</f>
        <v>松任公園Ｇ</v>
      </c>
      <c r="W74" s="355"/>
      <c r="X74" s="322"/>
      <c r="Y74" s="323"/>
      <c r="Z74" s="355"/>
      <c r="AA74" s="322"/>
      <c r="AB74" s="323"/>
    </row>
    <row r="75" spans="1:28" ht="13.5">
      <c r="A75">
        <v>5</v>
      </c>
      <c r="B75" s="453" t="str">
        <f>IF(Q66="",A75,Q66)</f>
        <v>根上中学校</v>
      </c>
      <c r="C75" s="454"/>
      <c r="D75" s="455"/>
      <c r="E75" s="310" t="str">
        <f aca="true" t="shared" si="16" ref="E75:G76">IF(Q67="","",Q67)</f>
        <v>⑤</v>
      </c>
      <c r="F75" s="311">
        <f t="shared" si="16"/>
        <v>41804</v>
      </c>
      <c r="G75" s="312" t="str">
        <f t="shared" si="16"/>
        <v>安原</v>
      </c>
      <c r="H75" s="328" t="str">
        <f aca="true" t="shared" si="17" ref="H75:J76">IF(Q69="","",Q69)</f>
        <v>④</v>
      </c>
      <c r="I75" s="311">
        <f t="shared" si="17"/>
        <v>41784</v>
      </c>
      <c r="J75" s="329" t="str">
        <f t="shared" si="17"/>
        <v>ドーム</v>
      </c>
      <c r="K75" s="330" t="str">
        <f aca="true" t="shared" si="18" ref="K75:M76">IF(Q71="","",Q71)</f>
        <v>④</v>
      </c>
      <c r="L75" s="311">
        <f t="shared" si="18"/>
        <v>41783</v>
      </c>
      <c r="M75" s="312" t="str">
        <f t="shared" si="18"/>
        <v>ドーム</v>
      </c>
      <c r="N75" s="328" t="str">
        <f aca="true" t="shared" si="19" ref="N75:P76">IF(Q73="","",Q73)</f>
        <v>⑤</v>
      </c>
      <c r="O75" s="311">
        <f t="shared" si="19"/>
        <v>41791</v>
      </c>
      <c r="P75" s="329" t="str">
        <f t="shared" si="19"/>
        <v>松任中Ｇ</v>
      </c>
      <c r="Q75" s="457"/>
      <c r="R75" s="457"/>
      <c r="S75" s="458"/>
      <c r="T75" s="315" t="str">
        <f>IF(COUNTIF($N$16:$N$62,VALUE($A75&amp;T$65&amp;1))=0,"",IF(COUNTIF($N$16:$N$62,VALUE($A75&amp;T$65&amp;1))=1,INDEX($N$16:$W$62,MATCH(VALUE($A75&amp;T$65&amp;1),$N$16:$N$62,0),3),"NG"))</f>
        <v>④</v>
      </c>
      <c r="U75" s="314">
        <f>IF(T75="","",IF(T75="NG","",INDEX($N$16:$W$62,MATCH(VALUE($A75&amp;T$65&amp;1),$N$16:$N$62,0),4)))</f>
        <v>41783</v>
      </c>
      <c r="V75" s="244" t="str">
        <f>IF(U75="","",IF(U75="NG","",INDEX($N$16:$W$62,MATCH(VALUE($A75&amp;T$65&amp;1),$N$16:$N$62,0),7)))</f>
        <v>北星中Ｇ</v>
      </c>
      <c r="W75" s="355"/>
      <c r="X75" s="322"/>
      <c r="Y75" s="323"/>
      <c r="Z75" s="355"/>
      <c r="AA75" s="322"/>
      <c r="AB75" s="323"/>
    </row>
    <row r="76" spans="2:28" ht="13.5">
      <c r="B76" s="453"/>
      <c r="C76" s="454"/>
      <c r="D76" s="455"/>
      <c r="E76" s="316" t="str">
        <f t="shared" si="16"/>
        <v>⑩</v>
      </c>
      <c r="F76" s="317">
        <f t="shared" si="16"/>
        <v>41888</v>
      </c>
      <c r="G76" s="318" t="str">
        <f t="shared" si="16"/>
        <v>北星中Ｇ</v>
      </c>
      <c r="H76" s="320" t="str">
        <f t="shared" si="17"/>
        <v>⑫</v>
      </c>
      <c r="I76" s="317">
        <f t="shared" si="17"/>
        <v>41916</v>
      </c>
      <c r="J76" s="242" t="str">
        <f t="shared" si="17"/>
        <v>松任公園Ｇ</v>
      </c>
      <c r="K76" s="319" t="str">
        <f t="shared" si="18"/>
        <v>⑩</v>
      </c>
      <c r="L76" s="317">
        <f t="shared" si="18"/>
        <v>41895</v>
      </c>
      <c r="M76" s="318" t="str">
        <f t="shared" si="18"/>
        <v>野田中Ｇ</v>
      </c>
      <c r="N76" s="320" t="str">
        <f t="shared" si="19"/>
        <v>⑬</v>
      </c>
      <c r="O76" s="317">
        <f t="shared" si="19"/>
        <v>41930</v>
      </c>
      <c r="P76" s="242" t="str">
        <f t="shared" si="19"/>
        <v>松任中Ｇ</v>
      </c>
      <c r="Q76" s="460"/>
      <c r="R76" s="460"/>
      <c r="S76" s="461"/>
      <c r="T76" s="320" t="str">
        <f>IF(COUNTIF($N$16:$N$62,VALUE($A75&amp;T$65&amp;2))=0,"",IF(COUNTIF($N$16:$N$62,VALUE($A75&amp;T$65&amp;2))=1,INDEX($N$16:$W$62,MATCH(VALUE($A75&amp;T$65&amp;2),$N$16:$N$62,0),3),"NG"))</f>
        <v>⑨</v>
      </c>
      <c r="U76" s="317">
        <f>IF(T76="","",IF(T76="NG","",INDEX($N$16:$W$62,MATCH(VALUE($A75&amp;T$65&amp;2),$N$16:$N$62,0),4)))</f>
        <v>41860</v>
      </c>
      <c r="V76" s="242" t="str">
        <f>IF(U76="","",IF(U76="NG","",INDEX($N$16:$W$62,MATCH(VALUE($A75&amp;T$65&amp;2),$N$16:$N$62,0),7)))</f>
        <v>野田中Ｇ</v>
      </c>
      <c r="W76" s="355"/>
      <c r="X76" s="322"/>
      <c r="Y76" s="323"/>
      <c r="Z76" s="355"/>
      <c r="AA76" s="322"/>
      <c r="AB76" s="323"/>
    </row>
    <row r="77" spans="1:28" ht="13.5">
      <c r="A77">
        <v>6</v>
      </c>
      <c r="B77" s="453" t="str">
        <f>IF(T66="",A77,T66)</f>
        <v>ＦＣ．ＴＯＮ</v>
      </c>
      <c r="C77" s="454"/>
      <c r="D77" s="455"/>
      <c r="E77" s="310" t="str">
        <f aca="true" t="shared" si="20" ref="E77:G78">IF(T67="","",T67)</f>
        <v>⑦</v>
      </c>
      <c r="F77" s="311">
        <f t="shared" si="20"/>
        <v>41833</v>
      </c>
      <c r="G77" s="312" t="str">
        <f t="shared" si="20"/>
        <v>松任中Ｇ</v>
      </c>
      <c r="H77" s="328" t="str">
        <f aca="true" t="shared" si="21" ref="H77:J78">IF(T69="","",T69)</f>
        <v>④</v>
      </c>
      <c r="I77" s="311">
        <f t="shared" si="21"/>
        <v>41783</v>
      </c>
      <c r="J77" s="329" t="str">
        <f t="shared" si="21"/>
        <v>ドーム</v>
      </c>
      <c r="K77" s="330" t="str">
        <f aca="true" t="shared" si="22" ref="K77:M78">IF(T71="","",T71)</f>
        <v>⑦</v>
      </c>
      <c r="L77" s="311">
        <f t="shared" si="22"/>
        <v>41826</v>
      </c>
      <c r="M77" s="312" t="str">
        <f t="shared" si="22"/>
        <v>北星中Ｇ</v>
      </c>
      <c r="N77" s="328" t="str">
        <f aca="true" t="shared" si="23" ref="N77:P78">IF(T73="","",T73)</f>
        <v>⑥</v>
      </c>
      <c r="O77" s="311">
        <f t="shared" si="23"/>
        <v>41818</v>
      </c>
      <c r="P77" s="329" t="str">
        <f t="shared" si="23"/>
        <v>北部公園Ｇ</v>
      </c>
      <c r="Q77" s="330" t="str">
        <f aca="true" t="shared" si="24" ref="Q77:S78">IF(T75="","",T75)</f>
        <v>④</v>
      </c>
      <c r="R77" s="311">
        <f t="shared" si="24"/>
        <v>41783</v>
      </c>
      <c r="S77" s="329" t="str">
        <f t="shared" si="24"/>
        <v>北星中Ｇ</v>
      </c>
      <c r="T77" s="456"/>
      <c r="U77" s="457"/>
      <c r="V77" s="458"/>
      <c r="W77" s="355"/>
      <c r="X77" s="322"/>
      <c r="Y77" s="323"/>
      <c r="Z77" s="355"/>
      <c r="AA77" s="322"/>
      <c r="AB77" s="323"/>
    </row>
    <row r="78" spans="2:28" ht="13.5">
      <c r="B78" s="453"/>
      <c r="C78" s="454"/>
      <c r="D78" s="455"/>
      <c r="E78" s="316" t="str">
        <f t="shared" si="20"/>
        <v>⑧</v>
      </c>
      <c r="F78" s="317">
        <f t="shared" si="20"/>
        <v>41847</v>
      </c>
      <c r="G78" s="318" t="str">
        <f t="shared" si="20"/>
        <v>松任中Ｇ</v>
      </c>
      <c r="H78" s="320" t="str">
        <f t="shared" si="21"/>
        <v>⑫</v>
      </c>
      <c r="I78" s="317">
        <f t="shared" si="21"/>
        <v>41916</v>
      </c>
      <c r="J78" s="242" t="str">
        <f t="shared" si="21"/>
        <v>松任公園Ｇ</v>
      </c>
      <c r="K78" s="319" t="str">
        <f t="shared" si="22"/>
        <v>⑪</v>
      </c>
      <c r="L78" s="317">
        <f t="shared" si="22"/>
        <v>41909</v>
      </c>
      <c r="M78" s="318" t="str">
        <f t="shared" si="22"/>
        <v>金沢市営</v>
      </c>
      <c r="N78" s="320" t="str">
        <f t="shared" si="23"/>
        <v>⑫</v>
      </c>
      <c r="O78" s="317">
        <f t="shared" si="23"/>
        <v>41916</v>
      </c>
      <c r="P78" s="242" t="str">
        <f t="shared" si="23"/>
        <v>松任公園Ｇ</v>
      </c>
      <c r="Q78" s="319" t="str">
        <f t="shared" si="24"/>
        <v>⑨</v>
      </c>
      <c r="R78" s="317">
        <f t="shared" si="24"/>
        <v>41860</v>
      </c>
      <c r="S78" s="242" t="str">
        <f t="shared" si="24"/>
        <v>野田中Ｇ</v>
      </c>
      <c r="T78" s="459"/>
      <c r="U78" s="460"/>
      <c r="V78" s="461"/>
      <c r="W78" s="355"/>
      <c r="X78" s="322"/>
      <c r="Y78" s="323"/>
      <c r="Z78" s="355"/>
      <c r="AA78" s="322"/>
      <c r="AB78" s="323"/>
    </row>
  </sheetData>
  <sheetProtection/>
  <mergeCells count="514">
    <mergeCell ref="AD18:AE18"/>
    <mergeCell ref="AD19:AE19"/>
    <mergeCell ref="AD22:AE22"/>
    <mergeCell ref="AD28:AE28"/>
    <mergeCell ref="AD29:AE29"/>
    <mergeCell ref="AD42:AE42"/>
    <mergeCell ref="AD34:AE34"/>
    <mergeCell ref="AD35:AE35"/>
    <mergeCell ref="AD36:AE36"/>
    <mergeCell ref="AD37:AE37"/>
    <mergeCell ref="L41:L45"/>
    <mergeCell ref="AD14:AE14"/>
    <mergeCell ref="AD15:AE15"/>
    <mergeCell ref="AD16:AE16"/>
    <mergeCell ref="AD17:AE17"/>
    <mergeCell ref="AD26:AE26"/>
    <mergeCell ref="AD27:AE27"/>
    <mergeCell ref="AD43:AE43"/>
    <mergeCell ref="AD32:AE32"/>
    <mergeCell ref="AD33:AE33"/>
    <mergeCell ref="AD40:AE40"/>
    <mergeCell ref="Q75:S76"/>
    <mergeCell ref="T77:V78"/>
    <mergeCell ref="Q66:S66"/>
    <mergeCell ref="T66:V66"/>
    <mergeCell ref="W66:Y66"/>
    <mergeCell ref="Z66:AB66"/>
    <mergeCell ref="V40:W40"/>
    <mergeCell ref="T42:U42"/>
    <mergeCell ref="Q40:R40"/>
    <mergeCell ref="N73:P74"/>
    <mergeCell ref="K71:M72"/>
    <mergeCell ref="B65:D65"/>
    <mergeCell ref="B66:D66"/>
    <mergeCell ref="B67:D68"/>
    <mergeCell ref="E67:G68"/>
    <mergeCell ref="B69:D70"/>
    <mergeCell ref="B71:D72"/>
    <mergeCell ref="B73:D74"/>
    <mergeCell ref="H65:J65"/>
    <mergeCell ref="B75:D76"/>
    <mergeCell ref="H69:J70"/>
    <mergeCell ref="B77:D78"/>
    <mergeCell ref="W65:Y65"/>
    <mergeCell ref="Z65:AB65"/>
    <mergeCell ref="E66:G66"/>
    <mergeCell ref="H66:J66"/>
    <mergeCell ref="K66:M66"/>
    <mergeCell ref="N66:P66"/>
    <mergeCell ref="E65:G65"/>
    <mergeCell ref="K65:M65"/>
    <mergeCell ref="N65:P65"/>
    <mergeCell ref="Q65:S65"/>
    <mergeCell ref="T65:V65"/>
    <mergeCell ref="AF19:AH19"/>
    <mergeCell ref="AF20:AH20"/>
    <mergeCell ref="AF21:AH21"/>
    <mergeCell ref="T20:U20"/>
    <mergeCell ref="V20:W20"/>
    <mergeCell ref="X20:Z20"/>
    <mergeCell ref="AA20:AC20"/>
    <mergeCell ref="AD20:AE20"/>
    <mergeCell ref="AD21:AE21"/>
    <mergeCell ref="X19:Z19"/>
    <mergeCell ref="AA19:AC19"/>
    <mergeCell ref="N21:O21"/>
    <mergeCell ref="Q21:R21"/>
    <mergeCell ref="T21:U21"/>
    <mergeCell ref="V21:W21"/>
    <mergeCell ref="X21:Z21"/>
    <mergeCell ref="AA21:AC21"/>
    <mergeCell ref="AF18:AH18"/>
    <mergeCell ref="E5:G5"/>
    <mergeCell ref="H5:J5"/>
    <mergeCell ref="K5:M5"/>
    <mergeCell ref="N5:P5"/>
    <mergeCell ref="Q5:S5"/>
    <mergeCell ref="T5:V5"/>
    <mergeCell ref="X14:AC14"/>
    <mergeCell ref="Q17:R17"/>
    <mergeCell ref="G44:I44"/>
    <mergeCell ref="J44:K44"/>
    <mergeCell ref="N18:O18"/>
    <mergeCell ref="Q18:R18"/>
    <mergeCell ref="G35:I35"/>
    <mergeCell ref="J35:K35"/>
    <mergeCell ref="G36:I36"/>
    <mergeCell ref="J36:K36"/>
    <mergeCell ref="L36:L40"/>
    <mergeCell ref="G43:I43"/>
    <mergeCell ref="T18:U18"/>
    <mergeCell ref="V18:W18"/>
    <mergeCell ref="N20:O20"/>
    <mergeCell ref="Q20:R20"/>
    <mergeCell ref="N19:O19"/>
    <mergeCell ref="Q19:R19"/>
    <mergeCell ref="T19:U19"/>
    <mergeCell ref="V19:W19"/>
    <mergeCell ref="T17:U17"/>
    <mergeCell ref="V17:W17"/>
    <mergeCell ref="X17:Z17"/>
    <mergeCell ref="AA17:AC17"/>
    <mergeCell ref="AF16:AH16"/>
    <mergeCell ref="AF17:AH17"/>
    <mergeCell ref="V16:W16"/>
    <mergeCell ref="X16:Z16"/>
    <mergeCell ref="AA16:AC16"/>
    <mergeCell ref="J43:K43"/>
    <mergeCell ref="G39:I39"/>
    <mergeCell ref="J39:K39"/>
    <mergeCell ref="G40:I40"/>
    <mergeCell ref="J40:K40"/>
    <mergeCell ref="B14:B15"/>
    <mergeCell ref="C14:C15"/>
    <mergeCell ref="G42:I42"/>
    <mergeCell ref="J42:K42"/>
    <mergeCell ref="G41:I41"/>
    <mergeCell ref="J41:K41"/>
    <mergeCell ref="G37:I37"/>
    <mergeCell ref="J37:K37"/>
    <mergeCell ref="G38:I38"/>
    <mergeCell ref="J38:K38"/>
    <mergeCell ref="G47:I47"/>
    <mergeCell ref="J47:K47"/>
    <mergeCell ref="G45:I45"/>
    <mergeCell ref="J45:K45"/>
    <mergeCell ref="G46:I46"/>
    <mergeCell ref="J46:K46"/>
    <mergeCell ref="G28:I28"/>
    <mergeCell ref="J28:K28"/>
    <mergeCell ref="G29:I29"/>
    <mergeCell ref="G34:I34"/>
    <mergeCell ref="J34:K34"/>
    <mergeCell ref="J30:K30"/>
    <mergeCell ref="J29:K29"/>
    <mergeCell ref="G30:I30"/>
    <mergeCell ref="G33:I33"/>
    <mergeCell ref="J33:K33"/>
    <mergeCell ref="G31:I31"/>
    <mergeCell ref="J31:K31"/>
    <mergeCell ref="G32:I32"/>
    <mergeCell ref="J32:K32"/>
    <mergeCell ref="G27:I27"/>
    <mergeCell ref="J27:K27"/>
    <mergeCell ref="G24:I24"/>
    <mergeCell ref="J24:K24"/>
    <mergeCell ref="G25:I25"/>
    <mergeCell ref="J25:K25"/>
    <mergeCell ref="G26:I26"/>
    <mergeCell ref="J26:K26"/>
    <mergeCell ref="G19:I19"/>
    <mergeCell ref="J19:K19"/>
    <mergeCell ref="G20:I20"/>
    <mergeCell ref="J20:K20"/>
    <mergeCell ref="J23:K23"/>
    <mergeCell ref="G21:I21"/>
    <mergeCell ref="J21:K21"/>
    <mergeCell ref="G22:I22"/>
    <mergeCell ref="J22:K22"/>
    <mergeCell ref="G23:I23"/>
    <mergeCell ref="X15:Z15"/>
    <mergeCell ref="Q15:R15"/>
    <mergeCell ref="T15:U15"/>
    <mergeCell ref="AA15:AC15"/>
    <mergeCell ref="V15:W15"/>
    <mergeCell ref="T16:U16"/>
    <mergeCell ref="F2:G2"/>
    <mergeCell ref="N15:O15"/>
    <mergeCell ref="H4:J4"/>
    <mergeCell ref="E4:G4"/>
    <mergeCell ref="K3:M3"/>
    <mergeCell ref="D14:E14"/>
    <mergeCell ref="J14:K14"/>
    <mergeCell ref="N14:O14"/>
    <mergeCell ref="J15:K15"/>
    <mergeCell ref="G18:I18"/>
    <mergeCell ref="J17:K17"/>
    <mergeCell ref="J18:K18"/>
    <mergeCell ref="G16:I16"/>
    <mergeCell ref="J16:K16"/>
    <mergeCell ref="N17:O17"/>
    <mergeCell ref="N16:O16"/>
    <mergeCell ref="Q3:S3"/>
    <mergeCell ref="Q4:S4"/>
    <mergeCell ref="G17:I17"/>
    <mergeCell ref="N3:P3"/>
    <mergeCell ref="N4:P4"/>
    <mergeCell ref="K4:M4"/>
    <mergeCell ref="G14:I14"/>
    <mergeCell ref="G15:I15"/>
    <mergeCell ref="E3:G3"/>
    <mergeCell ref="H3:J3"/>
    <mergeCell ref="T3:V3"/>
    <mergeCell ref="T4:V4"/>
    <mergeCell ref="X22:Z22"/>
    <mergeCell ref="AA22:AC22"/>
    <mergeCell ref="Q14:R14"/>
    <mergeCell ref="T14:U14"/>
    <mergeCell ref="V14:W14"/>
    <mergeCell ref="Q16:R16"/>
    <mergeCell ref="X18:Z18"/>
    <mergeCell ref="AA18:AC18"/>
    <mergeCell ref="L60:L62"/>
    <mergeCell ref="N23:O23"/>
    <mergeCell ref="N24:O24"/>
    <mergeCell ref="N26:O26"/>
    <mergeCell ref="N25:O25"/>
    <mergeCell ref="N27:O27"/>
    <mergeCell ref="N30:O30"/>
    <mergeCell ref="L26:L30"/>
    <mergeCell ref="L21:L25"/>
    <mergeCell ref="N50:O50"/>
    <mergeCell ref="Q23:R23"/>
    <mergeCell ref="T23:U23"/>
    <mergeCell ref="V23:W23"/>
    <mergeCell ref="X23:Z23"/>
    <mergeCell ref="N22:O22"/>
    <mergeCell ref="Q22:R22"/>
    <mergeCell ref="T22:U22"/>
    <mergeCell ref="Q24:R24"/>
    <mergeCell ref="T24:U24"/>
    <mergeCell ref="V24:W24"/>
    <mergeCell ref="X24:Z24"/>
    <mergeCell ref="AA24:AC24"/>
    <mergeCell ref="X26:Z26"/>
    <mergeCell ref="T25:U25"/>
    <mergeCell ref="AF23:AH23"/>
    <mergeCell ref="AF24:AH24"/>
    <mergeCell ref="AF25:AH25"/>
    <mergeCell ref="AA23:AC23"/>
    <mergeCell ref="V22:W22"/>
    <mergeCell ref="AF22:AH22"/>
    <mergeCell ref="AD23:AE23"/>
    <mergeCell ref="AD24:AE24"/>
    <mergeCell ref="AD25:AE25"/>
    <mergeCell ref="AF27:AH27"/>
    <mergeCell ref="Q25:R25"/>
    <mergeCell ref="AF28:AH28"/>
    <mergeCell ref="X27:Z27"/>
    <mergeCell ref="Q26:R26"/>
    <mergeCell ref="T26:U26"/>
    <mergeCell ref="V26:W26"/>
    <mergeCell ref="V25:W25"/>
    <mergeCell ref="X25:Z25"/>
    <mergeCell ref="AA25:AC25"/>
    <mergeCell ref="X29:Z29"/>
    <mergeCell ref="AA29:AC29"/>
    <mergeCell ref="X28:Z28"/>
    <mergeCell ref="Q27:R27"/>
    <mergeCell ref="T27:U27"/>
    <mergeCell ref="V27:W27"/>
    <mergeCell ref="T30:U30"/>
    <mergeCell ref="N28:O28"/>
    <mergeCell ref="Q28:R28"/>
    <mergeCell ref="AA28:AC28"/>
    <mergeCell ref="V30:W30"/>
    <mergeCell ref="AF26:AH26"/>
    <mergeCell ref="AA27:AC27"/>
    <mergeCell ref="T28:U28"/>
    <mergeCell ref="V28:W28"/>
    <mergeCell ref="AA26:AC26"/>
    <mergeCell ref="AF30:AH30"/>
    <mergeCell ref="N29:O29"/>
    <mergeCell ref="Q29:R29"/>
    <mergeCell ref="X30:Z30"/>
    <mergeCell ref="AA30:AC30"/>
    <mergeCell ref="AF29:AH29"/>
    <mergeCell ref="AD30:AE30"/>
    <mergeCell ref="T29:U29"/>
    <mergeCell ref="V29:W29"/>
    <mergeCell ref="Q30:R30"/>
    <mergeCell ref="AF31:AH31"/>
    <mergeCell ref="AA32:AC32"/>
    <mergeCell ref="AF32:AH32"/>
    <mergeCell ref="N31:O31"/>
    <mergeCell ref="Q31:R31"/>
    <mergeCell ref="T31:U31"/>
    <mergeCell ref="V31:W31"/>
    <mergeCell ref="X31:Z31"/>
    <mergeCell ref="AD31:AE31"/>
    <mergeCell ref="AA31:AC31"/>
    <mergeCell ref="X32:Z32"/>
    <mergeCell ref="N34:O34"/>
    <mergeCell ref="Q34:R34"/>
    <mergeCell ref="T34:U34"/>
    <mergeCell ref="N32:O32"/>
    <mergeCell ref="Q32:R32"/>
    <mergeCell ref="T32:U32"/>
    <mergeCell ref="V32:W32"/>
    <mergeCell ref="V34:W34"/>
    <mergeCell ref="AF34:AH34"/>
    <mergeCell ref="N33:O33"/>
    <mergeCell ref="Q33:R33"/>
    <mergeCell ref="X34:Z34"/>
    <mergeCell ref="AA34:AC34"/>
    <mergeCell ref="AF33:AH33"/>
    <mergeCell ref="T33:U33"/>
    <mergeCell ref="V33:W33"/>
    <mergeCell ref="X33:Z33"/>
    <mergeCell ref="AA33:AC33"/>
    <mergeCell ref="AF35:AH35"/>
    <mergeCell ref="AA36:AC36"/>
    <mergeCell ref="AF36:AH36"/>
    <mergeCell ref="N35:O35"/>
    <mergeCell ref="Q35:R35"/>
    <mergeCell ref="T35:U35"/>
    <mergeCell ref="V35:W35"/>
    <mergeCell ref="X35:Z35"/>
    <mergeCell ref="AA35:AC35"/>
    <mergeCell ref="T36:U36"/>
    <mergeCell ref="AA37:AC37"/>
    <mergeCell ref="X36:Z36"/>
    <mergeCell ref="N38:O38"/>
    <mergeCell ref="Q38:R38"/>
    <mergeCell ref="T38:U38"/>
    <mergeCell ref="N36:O36"/>
    <mergeCell ref="Q36:R36"/>
    <mergeCell ref="V36:W36"/>
    <mergeCell ref="V38:W38"/>
    <mergeCell ref="AF38:AH38"/>
    <mergeCell ref="N37:O37"/>
    <mergeCell ref="Q37:R37"/>
    <mergeCell ref="X38:Z38"/>
    <mergeCell ref="AA38:AC38"/>
    <mergeCell ref="AF37:AH37"/>
    <mergeCell ref="AD38:AE38"/>
    <mergeCell ref="T37:U37"/>
    <mergeCell ref="V37:W37"/>
    <mergeCell ref="X37:Z37"/>
    <mergeCell ref="AF39:AH39"/>
    <mergeCell ref="AA40:AC40"/>
    <mergeCell ref="AF40:AH40"/>
    <mergeCell ref="N39:O39"/>
    <mergeCell ref="Q39:R39"/>
    <mergeCell ref="T39:U39"/>
    <mergeCell ref="V39:W39"/>
    <mergeCell ref="X39:Z39"/>
    <mergeCell ref="AD39:AE39"/>
    <mergeCell ref="N40:O40"/>
    <mergeCell ref="T40:U40"/>
    <mergeCell ref="AA39:AC39"/>
    <mergeCell ref="T41:U41"/>
    <mergeCell ref="V41:W41"/>
    <mergeCell ref="X41:Z41"/>
    <mergeCell ref="AA41:AC41"/>
    <mergeCell ref="X40:Z40"/>
    <mergeCell ref="V42:W42"/>
    <mergeCell ref="AF42:AH42"/>
    <mergeCell ref="N41:O41"/>
    <mergeCell ref="Q41:R41"/>
    <mergeCell ref="X42:Z42"/>
    <mergeCell ref="AA42:AC42"/>
    <mergeCell ref="AF41:AH41"/>
    <mergeCell ref="AD41:AE41"/>
    <mergeCell ref="N42:O42"/>
    <mergeCell ref="Q42:R42"/>
    <mergeCell ref="AF43:AH43"/>
    <mergeCell ref="AA44:AC44"/>
    <mergeCell ref="AF44:AH44"/>
    <mergeCell ref="N43:O43"/>
    <mergeCell ref="Q43:R43"/>
    <mergeCell ref="T43:U43"/>
    <mergeCell ref="V43:W43"/>
    <mergeCell ref="X43:Z43"/>
    <mergeCell ref="AD44:AE44"/>
    <mergeCell ref="AA43:AC43"/>
    <mergeCell ref="T45:U45"/>
    <mergeCell ref="V45:W45"/>
    <mergeCell ref="X45:Z45"/>
    <mergeCell ref="AA45:AC45"/>
    <mergeCell ref="X44:Z44"/>
    <mergeCell ref="N46:O46"/>
    <mergeCell ref="Q46:R46"/>
    <mergeCell ref="T46:U46"/>
    <mergeCell ref="N44:O44"/>
    <mergeCell ref="Q44:R44"/>
    <mergeCell ref="T44:U44"/>
    <mergeCell ref="V44:W44"/>
    <mergeCell ref="V46:W46"/>
    <mergeCell ref="AF46:AH46"/>
    <mergeCell ref="N45:O45"/>
    <mergeCell ref="Q45:R45"/>
    <mergeCell ref="X46:Z46"/>
    <mergeCell ref="AA46:AC46"/>
    <mergeCell ref="AF45:AH45"/>
    <mergeCell ref="AD45:AE45"/>
    <mergeCell ref="AD46:AE46"/>
    <mergeCell ref="AF47:AH47"/>
    <mergeCell ref="AA48:AC48"/>
    <mergeCell ref="AF48:AH48"/>
    <mergeCell ref="N47:O47"/>
    <mergeCell ref="Q47:R47"/>
    <mergeCell ref="T47:U47"/>
    <mergeCell ref="V47:W47"/>
    <mergeCell ref="X47:Z47"/>
    <mergeCell ref="AD47:AE47"/>
    <mergeCell ref="AA47:AC47"/>
    <mergeCell ref="T49:U49"/>
    <mergeCell ref="V49:W49"/>
    <mergeCell ref="X49:Z49"/>
    <mergeCell ref="AA49:AC49"/>
    <mergeCell ref="X48:Z48"/>
    <mergeCell ref="V48:W48"/>
    <mergeCell ref="N48:O48"/>
    <mergeCell ref="Q48:R48"/>
    <mergeCell ref="T48:U48"/>
    <mergeCell ref="AD52:AE52"/>
    <mergeCell ref="AD51:AE51"/>
    <mergeCell ref="X52:Z52"/>
    <mergeCell ref="V52:W52"/>
    <mergeCell ref="AD48:AE48"/>
    <mergeCell ref="V50:W50"/>
    <mergeCell ref="AF50:AH50"/>
    <mergeCell ref="N49:O49"/>
    <mergeCell ref="Q49:R49"/>
    <mergeCell ref="X50:Z50"/>
    <mergeCell ref="AA50:AC50"/>
    <mergeCell ref="AF49:AH49"/>
    <mergeCell ref="AD49:AE49"/>
    <mergeCell ref="AD50:AE50"/>
    <mergeCell ref="Q50:R50"/>
    <mergeCell ref="T50:U50"/>
    <mergeCell ref="AF51:AH51"/>
    <mergeCell ref="AA52:AC52"/>
    <mergeCell ref="AF52:AH52"/>
    <mergeCell ref="N51:O51"/>
    <mergeCell ref="Q51:R51"/>
    <mergeCell ref="T51:U51"/>
    <mergeCell ref="V51:W51"/>
    <mergeCell ref="X51:Z51"/>
    <mergeCell ref="Q54:R54"/>
    <mergeCell ref="T54:U54"/>
    <mergeCell ref="N52:O52"/>
    <mergeCell ref="Q52:R52"/>
    <mergeCell ref="T52:U52"/>
    <mergeCell ref="AA51:AC51"/>
    <mergeCell ref="T53:U53"/>
    <mergeCell ref="V53:W53"/>
    <mergeCell ref="X53:Z53"/>
    <mergeCell ref="AA53:AC53"/>
    <mergeCell ref="V54:W54"/>
    <mergeCell ref="AF54:AH54"/>
    <mergeCell ref="N53:O53"/>
    <mergeCell ref="Q53:R53"/>
    <mergeCell ref="X54:Z54"/>
    <mergeCell ref="AA54:AC54"/>
    <mergeCell ref="AF53:AH53"/>
    <mergeCell ref="AD53:AE53"/>
    <mergeCell ref="AD54:AE54"/>
    <mergeCell ref="N54:O54"/>
    <mergeCell ref="AF55:AH55"/>
    <mergeCell ref="AA56:AC56"/>
    <mergeCell ref="AF56:AH56"/>
    <mergeCell ref="N55:O55"/>
    <mergeCell ref="Q55:R55"/>
    <mergeCell ref="T55:U55"/>
    <mergeCell ref="V55:W55"/>
    <mergeCell ref="X55:Z55"/>
    <mergeCell ref="AD56:AE56"/>
    <mergeCell ref="AD55:AE55"/>
    <mergeCell ref="AA55:AC55"/>
    <mergeCell ref="T57:U57"/>
    <mergeCell ref="V57:W57"/>
    <mergeCell ref="X57:Z57"/>
    <mergeCell ref="AA57:AC57"/>
    <mergeCell ref="X56:Z56"/>
    <mergeCell ref="V56:W56"/>
    <mergeCell ref="AD58:AE58"/>
    <mergeCell ref="N58:O58"/>
    <mergeCell ref="Q58:R58"/>
    <mergeCell ref="T58:U58"/>
    <mergeCell ref="N56:O56"/>
    <mergeCell ref="Q56:R56"/>
    <mergeCell ref="T56:U56"/>
    <mergeCell ref="AD59:AE59"/>
    <mergeCell ref="AD60:AE60"/>
    <mergeCell ref="V58:W58"/>
    <mergeCell ref="AF58:AH58"/>
    <mergeCell ref="N57:O57"/>
    <mergeCell ref="Q57:R57"/>
    <mergeCell ref="X58:Z58"/>
    <mergeCell ref="AA58:AC58"/>
    <mergeCell ref="AF57:AH57"/>
    <mergeCell ref="AD57:AE57"/>
    <mergeCell ref="X60:Z60"/>
    <mergeCell ref="V60:W60"/>
    <mergeCell ref="AF59:AH59"/>
    <mergeCell ref="AA60:AC60"/>
    <mergeCell ref="AF60:AH60"/>
    <mergeCell ref="N59:O59"/>
    <mergeCell ref="Q59:R59"/>
    <mergeCell ref="T59:U59"/>
    <mergeCell ref="V59:W59"/>
    <mergeCell ref="X59:Z59"/>
    <mergeCell ref="T62:U62"/>
    <mergeCell ref="N60:O60"/>
    <mergeCell ref="Q60:R60"/>
    <mergeCell ref="T60:U60"/>
    <mergeCell ref="V62:W62"/>
    <mergeCell ref="AA59:AC59"/>
    <mergeCell ref="T61:U61"/>
    <mergeCell ref="V61:W61"/>
    <mergeCell ref="X61:Z61"/>
    <mergeCell ref="AA61:AC61"/>
    <mergeCell ref="AF62:AH62"/>
    <mergeCell ref="N61:O61"/>
    <mergeCell ref="Q61:R61"/>
    <mergeCell ref="X62:Z62"/>
    <mergeCell ref="AA62:AC62"/>
    <mergeCell ref="AF61:AH61"/>
    <mergeCell ref="AD62:AE62"/>
    <mergeCell ref="AD61:AE61"/>
    <mergeCell ref="N62:O62"/>
    <mergeCell ref="Q62:R62"/>
  </mergeCells>
  <dataValidations count="7">
    <dataValidation type="list" allowBlank="1" showInputMessage="1" showErrorMessage="1" sqref="N1">
      <formula1>$AH$4:$AH$5</formula1>
    </dataValidation>
    <dataValidation type="list" allowBlank="1" showInputMessage="1" showErrorMessage="1" sqref="F2:G2">
      <formula1>$AN$23:$AN$26</formula1>
    </dataValidation>
    <dataValidation type="list" allowBlank="1" showInputMessage="1" showErrorMessage="1" sqref="N16:O30">
      <formula1>$AP$2:$AP$17</formula1>
    </dataValidation>
    <dataValidation type="list" allowBlank="1" showInputMessage="1" showErrorMessage="1" sqref="Q16:R45">
      <formula1>$B$15:$B$61</formula1>
    </dataValidation>
    <dataValidation type="list" allowBlank="1" showInputMessage="1" showErrorMessage="1" sqref="T16:U45">
      <formula1>$J$16:$J$47</formula1>
    </dataValidation>
    <dataValidation type="list" allowBlank="1" showInputMessage="1" showErrorMessage="1" sqref="N31:O45">
      <formula1>$AQ$2:$AQ$18</formula1>
    </dataValidation>
    <dataValidation type="list" allowBlank="1" showInputMessage="1" showErrorMessage="1" sqref="AD16:AE45">
      <formula1>$AN$3:$AN$26</formula1>
    </dataValidation>
  </dataValidations>
  <printOptions horizontalCentered="1"/>
  <pageMargins left="0.3937007874015748" right="0" top="0" bottom="0" header="0.31496062992125984" footer="0.31496062992125984"/>
  <pageSetup fitToHeight="1" fitToWidth="1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Q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3.50390625" style="0" customWidth="1"/>
    <col min="3" max="3" width="4.125" style="0" customWidth="1"/>
    <col min="4" max="4" width="7.125" style="0" customWidth="1"/>
    <col min="5" max="5" width="4.25390625" style="0" customWidth="1"/>
    <col min="6" max="6" width="12.00390625" style="0" customWidth="1"/>
    <col min="7" max="7" width="6.875" style="0" customWidth="1"/>
    <col min="8" max="8" width="12.125" style="0" customWidth="1"/>
    <col min="9" max="9" width="4.875" style="0" customWidth="1"/>
    <col min="10" max="10" width="2.50390625" style="0" customWidth="1"/>
    <col min="11" max="11" width="3.75390625" style="0" customWidth="1"/>
    <col min="12" max="12" width="3.00390625" style="0" customWidth="1"/>
    <col min="13" max="13" width="4.00390625" style="0" customWidth="1"/>
    <col min="14" max="14" width="2.50390625" style="0" customWidth="1"/>
    <col min="15" max="15" width="5.625" style="0" customWidth="1"/>
    <col min="16" max="16" width="12.125" style="0" customWidth="1"/>
    <col min="17" max="17" width="8.75390625" style="0" customWidth="1"/>
    <col min="20" max="26" width="2.125" style="0" customWidth="1"/>
  </cols>
  <sheetData>
    <row r="1" spans="1:6" ht="17.25">
      <c r="A1" s="183" t="s">
        <v>171</v>
      </c>
      <c r="C1" s="183"/>
      <c r="F1" s="301" t="s">
        <v>169</v>
      </c>
    </row>
    <row r="2" spans="2:3" ht="17.25">
      <c r="B2" s="183"/>
      <c r="C2" s="183" t="s">
        <v>172</v>
      </c>
    </row>
    <row r="3" spans="2:3" ht="17.25">
      <c r="B3" s="183"/>
      <c r="C3" s="183"/>
    </row>
    <row r="4" spans="1:17" ht="17.25">
      <c r="A4" s="302">
        <v>1</v>
      </c>
      <c r="B4" s="303">
        <v>2</v>
      </c>
      <c r="C4" s="303">
        <v>3</v>
      </c>
      <c r="D4" s="302">
        <v>4</v>
      </c>
      <c r="E4" s="302">
        <v>5</v>
      </c>
      <c r="F4" s="302">
        <v>6</v>
      </c>
      <c r="G4" s="302">
        <v>7</v>
      </c>
      <c r="H4" s="302">
        <v>8</v>
      </c>
      <c r="I4" s="302">
        <v>9</v>
      </c>
      <c r="J4" s="302">
        <v>10</v>
      </c>
      <c r="K4" s="302">
        <v>11</v>
      </c>
      <c r="L4" s="302">
        <v>12</v>
      </c>
      <c r="M4" s="302">
        <v>13</v>
      </c>
      <c r="N4" s="302">
        <v>14</v>
      </c>
      <c r="O4" s="302">
        <v>15</v>
      </c>
      <c r="P4" s="302">
        <v>16</v>
      </c>
      <c r="Q4" s="302">
        <v>17</v>
      </c>
    </row>
    <row r="5" spans="4:17" ht="13.5" customHeight="1">
      <c r="D5" s="247" t="str">
        <f>"　第"&amp;WIDECHAR('編成'!J1-2010)&amp;"回 石川県ユース(Ｕ－1３)サッカーリーグ "&amp;'編成'!J1</f>
        <v>　第４回 石川県ユース(Ｕ－1３)サッカーリーグ 2014</v>
      </c>
      <c r="O5" s="251" t="s">
        <v>161</v>
      </c>
      <c r="P5" s="250" t="str">
        <f>'編成'!F2</f>
        <v>Ａ</v>
      </c>
      <c r="Q5" s="246" t="s">
        <v>162</v>
      </c>
    </row>
    <row r="6" spans="1:17" ht="12.75" customHeight="1">
      <c r="A6" s="249" t="s">
        <v>156</v>
      </c>
      <c r="C6" s="252" t="s">
        <v>80</v>
      </c>
      <c r="D6" s="253" t="s">
        <v>88</v>
      </c>
      <c r="E6" s="255" t="s">
        <v>89</v>
      </c>
      <c r="F6" s="253" t="s">
        <v>163</v>
      </c>
      <c r="G6" s="254" t="s">
        <v>90</v>
      </c>
      <c r="H6" s="257" t="s">
        <v>91</v>
      </c>
      <c r="I6" s="485" t="s">
        <v>160</v>
      </c>
      <c r="J6" s="486"/>
      <c r="K6" s="486"/>
      <c r="L6" s="486"/>
      <c r="M6" s="486"/>
      <c r="N6" s="486"/>
      <c r="O6" s="487"/>
      <c r="P6" s="256" t="s">
        <v>92</v>
      </c>
      <c r="Q6" s="254" t="s">
        <v>93</v>
      </c>
    </row>
    <row r="7" spans="1:17" ht="15" customHeight="1">
      <c r="A7" s="178">
        <f>IF(MAX('編成'!$AI$16:$AI$62)&lt;'記入'!$B7,"",INDEX('編成'!$M$16:$AI$62,MATCH('記入'!$B7,'編成'!$AI$16:$AI$62,0),2))</f>
        <v>561</v>
      </c>
      <c r="B7">
        <v>1</v>
      </c>
      <c r="C7" s="260" t="str">
        <f>IF(A7="","",INDEX('編成'!$M$16:$AI$62,MATCH($B7,'編成'!$AI$16:$AI$62,0),4))</f>
        <v>④</v>
      </c>
      <c r="D7" s="261">
        <f>IF($A7="","",INDEX('編成'!$M$16:$AI$62,MATCH($B7,'編成'!$AI$16:$AI$62,0),5))</f>
        <v>41783</v>
      </c>
      <c r="E7" s="262" t="str">
        <f>IF($A7="","",INDEX('編成'!$M$16:$AI$62,MATCH($B7,'編成'!$AI$16:$AI$62,0),7))</f>
        <v>土</v>
      </c>
      <c r="F7" s="262" t="str">
        <f>IF($A7="","",INDEX('編成'!$M$16:$AI$62,MATCH($B7,'編成'!$AI$16:$AI$62,0),8))</f>
        <v>北星中Ｇ</v>
      </c>
      <c r="G7" s="263">
        <f>IF($A7="","",INDEX('編成'!$M$16:$AI$62,MATCH($B7,'編成'!$AI$16:$AI$62,0),10))</f>
        <v>0</v>
      </c>
      <c r="H7" s="264" t="str">
        <f>IF($A7="","",INDEX('編成'!$M$16:$AI$62,MATCH($B7,'編成'!$AI$16:$AI$62,0),12))</f>
        <v>根上中学校</v>
      </c>
      <c r="I7" s="278">
        <v>0</v>
      </c>
      <c r="J7" s="258" t="s">
        <v>157</v>
      </c>
      <c r="K7" s="278">
        <v>0</v>
      </c>
      <c r="L7" s="259" t="s">
        <v>159</v>
      </c>
      <c r="M7" s="278">
        <v>3</v>
      </c>
      <c r="N7" s="258" t="s">
        <v>158</v>
      </c>
      <c r="O7" s="278">
        <v>4</v>
      </c>
      <c r="P7" s="265" t="str">
        <f>IF($A7="","",INDEX('編成'!$M$16:$AI$62,MATCH($B7,'編成'!$AI$16:$AI$62,0),15))</f>
        <v>ＦＣ．ＴＯＮ</v>
      </c>
      <c r="Q7" s="266">
        <f>IF($A7="","",INDEX('編成'!$M$16:$AI$62,MATCH($B7,'編成'!$AI$16:$AI$62,0),18))</f>
        <v>0</v>
      </c>
    </row>
    <row r="8" spans="1:17" ht="15" customHeight="1">
      <c r="A8" s="178">
        <f>IF(MAX('編成'!$AI$16:$AI$62)&lt;'記入'!$B8,"",INDEX('編成'!$M$16:$AI$62,MATCH('記入'!$B8,'編成'!$AI$16:$AI$62,0),2))</f>
        <v>261</v>
      </c>
      <c r="B8">
        <v>2</v>
      </c>
      <c r="C8" s="267" t="str">
        <f>IF(A8="","",INDEX('編成'!$M$16:$AI$62,MATCH($B8,'編成'!$AI$16:$AI$62,0),4))</f>
        <v>④</v>
      </c>
      <c r="D8" s="268">
        <f>IF($A8="","",INDEX('編成'!$M$16:$AI$62,MATCH($B8,'編成'!$AI$16:$AI$62,0),5))</f>
        <v>41783</v>
      </c>
      <c r="E8" s="269" t="str">
        <f>IF($A8="","",INDEX('編成'!$M$16:$AI$62,MATCH($B8,'編成'!$AI$16:$AI$62,0),7))</f>
        <v>土</v>
      </c>
      <c r="F8" s="269" t="str">
        <f>IF($A8="","",INDEX('編成'!$M$16:$AI$62,MATCH($B8,'編成'!$AI$16:$AI$62,0),8))</f>
        <v>ドーム</v>
      </c>
      <c r="G8" s="270">
        <f>IF($A8="","",INDEX('編成'!$M$16:$AI$62,MATCH($B8,'編成'!$AI$16:$AI$62,0),10))</f>
        <v>0</v>
      </c>
      <c r="H8" s="271" t="str">
        <f>IF($A8="","",INDEX('編成'!$M$16:$AI$62,MATCH($B8,'編成'!$AI$16:$AI$62,0),12))</f>
        <v>ＦＣ小松</v>
      </c>
      <c r="I8" s="276">
        <v>5</v>
      </c>
      <c r="J8" s="272" t="s">
        <v>164</v>
      </c>
      <c r="K8" s="276">
        <v>2</v>
      </c>
      <c r="L8" s="273" t="s">
        <v>159</v>
      </c>
      <c r="M8" s="276">
        <v>0</v>
      </c>
      <c r="N8" s="272" t="s">
        <v>165</v>
      </c>
      <c r="O8" s="276">
        <v>0</v>
      </c>
      <c r="P8" s="274" t="str">
        <f>IF($A8="","",INDEX('編成'!$M$16:$AI$62,MATCH($B8,'編成'!$AI$16:$AI$62,0),15))</f>
        <v>ＦＣ．ＴＯＮ</v>
      </c>
      <c r="Q8" s="275">
        <f>IF($A8="","",INDEX('編成'!$M$16:$AI$62,MATCH($B8,'編成'!$AI$16:$AI$62,0),18))</f>
        <v>0</v>
      </c>
    </row>
    <row r="9" spans="1:17" ht="15" customHeight="1">
      <c r="A9" s="178">
        <f>IF(MAX('編成'!$AI$16:$AI$62)&lt;'記入'!$B9,"",INDEX('編成'!$M$16:$AI$62,MATCH('記入'!$B9,'編成'!$AI$16:$AI$62,0),2))</f>
        <v>351</v>
      </c>
      <c r="B9">
        <v>3</v>
      </c>
      <c r="C9" s="267" t="str">
        <f>IF(A9="","",INDEX('編成'!$M$16:$AI$62,MATCH($B9,'編成'!$AI$16:$AI$62,0),4))</f>
        <v>④</v>
      </c>
      <c r="D9" s="268">
        <f>IF($A9="","",INDEX('編成'!$M$16:$AI$62,MATCH($B9,'編成'!$AI$16:$AI$62,0),5))</f>
        <v>41783</v>
      </c>
      <c r="E9" s="269" t="str">
        <f>IF($A9="","",INDEX('編成'!$M$16:$AI$62,MATCH($B9,'編成'!$AI$16:$AI$62,0),7))</f>
        <v>土</v>
      </c>
      <c r="F9" s="269" t="str">
        <f>IF($A9="","",INDEX('編成'!$M$16:$AI$62,MATCH($B9,'編成'!$AI$16:$AI$62,0),8))</f>
        <v>ドーム</v>
      </c>
      <c r="G9" s="270">
        <f>IF($A9="","",INDEX('編成'!$M$16:$AI$62,MATCH($B9,'編成'!$AI$16:$AI$62,0),10))</f>
        <v>0</v>
      </c>
      <c r="H9" s="271" t="str">
        <f>IF($A9="","",INDEX('編成'!$M$16:$AI$62,MATCH($B9,'編成'!$AI$16:$AI$62,0),12))</f>
        <v>河北台ＳＣ</v>
      </c>
      <c r="I9" s="276">
        <v>0</v>
      </c>
      <c r="J9" s="272" t="s">
        <v>176</v>
      </c>
      <c r="K9" s="276">
        <v>0</v>
      </c>
      <c r="L9" s="273" t="s">
        <v>177</v>
      </c>
      <c r="M9" s="276">
        <v>4</v>
      </c>
      <c r="N9" s="272" t="s">
        <v>178</v>
      </c>
      <c r="O9" s="276">
        <v>7</v>
      </c>
      <c r="P9" s="274" t="str">
        <f>IF($A9="","",INDEX('編成'!$M$16:$AI$62,MATCH($B9,'編成'!$AI$16:$AI$62,0),15))</f>
        <v>根上中学校</v>
      </c>
      <c r="Q9" s="275">
        <f>IF($A9="","",INDEX('編成'!$M$16:$AI$62,MATCH($B9,'編成'!$AI$16:$AI$62,0),18))</f>
        <v>0</v>
      </c>
    </row>
    <row r="10" spans="1:17" ht="15" customHeight="1">
      <c r="A10" s="178">
        <f>IF(MAX('編成'!$AI$16:$AI$62)&lt;'記入'!$B10,"",INDEX('編成'!$M$16:$AI$62,MATCH('記入'!$B10,'編成'!$AI$16:$AI$62,0),2))</f>
        <v>251</v>
      </c>
      <c r="B10">
        <v>4</v>
      </c>
      <c r="C10" s="267" t="str">
        <f>IF(A10="","",INDEX('編成'!$M$16:$AI$62,MATCH($B10,'編成'!$AI$16:$AI$62,0),4))</f>
        <v>④</v>
      </c>
      <c r="D10" s="268">
        <f>IF($A10="","",INDEX('編成'!$M$16:$AI$62,MATCH($B10,'編成'!$AI$16:$AI$62,0),5))</f>
        <v>41784</v>
      </c>
      <c r="E10" s="269" t="str">
        <f>IF($A10="","",INDEX('編成'!$M$16:$AI$62,MATCH($B10,'編成'!$AI$16:$AI$62,0),7))</f>
        <v>日</v>
      </c>
      <c r="F10" s="269" t="str">
        <f>IF($A10="","",INDEX('編成'!$M$16:$AI$62,MATCH($B10,'編成'!$AI$16:$AI$62,0),8))</f>
        <v>ドーム</v>
      </c>
      <c r="G10" s="270">
        <f>IF($A10="","",INDEX('編成'!$M$16:$AI$62,MATCH($B10,'編成'!$AI$16:$AI$62,0),10))</f>
        <v>0</v>
      </c>
      <c r="H10" s="271" t="str">
        <f>IF($A10="","",INDEX('編成'!$M$16:$AI$62,MATCH($B10,'編成'!$AI$16:$AI$62,0),12))</f>
        <v>ＦＣ小松</v>
      </c>
      <c r="I10" s="276">
        <v>10</v>
      </c>
      <c r="J10" s="272" t="s">
        <v>176</v>
      </c>
      <c r="K10" s="276">
        <v>7</v>
      </c>
      <c r="L10" s="273" t="s">
        <v>177</v>
      </c>
      <c r="M10" s="276">
        <v>0</v>
      </c>
      <c r="N10" s="272" t="s">
        <v>178</v>
      </c>
      <c r="O10" s="276">
        <v>0</v>
      </c>
      <c r="P10" s="274" t="str">
        <f>IF($A10="","",INDEX('編成'!$M$16:$AI$62,MATCH($B10,'編成'!$AI$16:$AI$62,0),15))</f>
        <v>根上中学校</v>
      </c>
      <c r="Q10" s="275">
        <f>IF($A10="","",INDEX('編成'!$M$16:$AI$62,MATCH($B10,'編成'!$AI$16:$AI$62,0),18))</f>
        <v>0</v>
      </c>
    </row>
    <row r="11" spans="1:17" ht="15" customHeight="1">
      <c r="A11" s="178">
        <f>IF(MAX('編成'!$AI$16:$AI$62)&lt;'記入'!$B11,"",INDEX('編成'!$M$16:$AI$62,MATCH('記入'!$B11,'編成'!$AI$16:$AI$62,0),2))</f>
        <v>341</v>
      </c>
      <c r="B11">
        <v>5</v>
      </c>
      <c r="C11" s="267" t="str">
        <f>IF(A11="","",INDEX('編成'!$M$16:$AI$62,MATCH($B11,'編成'!$AI$16:$AI$62,0),4))</f>
        <v>④</v>
      </c>
      <c r="D11" s="268">
        <f>IF($A11="","",INDEX('編成'!$M$16:$AI$62,MATCH($B11,'編成'!$AI$16:$AI$62,0),5))</f>
        <v>41784</v>
      </c>
      <c r="E11" s="269" t="str">
        <f>IF($A11="","",INDEX('編成'!$M$16:$AI$62,MATCH($B11,'編成'!$AI$16:$AI$62,0),7))</f>
        <v>日</v>
      </c>
      <c r="F11" s="269" t="str">
        <f>IF($A11="","",INDEX('編成'!$M$16:$AI$62,MATCH($B11,'編成'!$AI$16:$AI$62,0),8))</f>
        <v>ドーム</v>
      </c>
      <c r="G11" s="270">
        <f>IF($A11="","",INDEX('編成'!$M$16:$AI$62,MATCH($B11,'編成'!$AI$16:$AI$62,0),10))</f>
        <v>0</v>
      </c>
      <c r="H11" s="271" t="str">
        <f>IF($A11="","",INDEX('編成'!$M$16:$AI$62,MATCH($B11,'編成'!$AI$16:$AI$62,0),12))</f>
        <v>河北台ＳＣ</v>
      </c>
      <c r="I11" s="276">
        <v>0</v>
      </c>
      <c r="J11" s="272" t="s">
        <v>164</v>
      </c>
      <c r="K11" s="276">
        <v>0</v>
      </c>
      <c r="L11" s="273" t="s">
        <v>159</v>
      </c>
      <c r="M11" s="276">
        <v>7</v>
      </c>
      <c r="N11" s="272" t="s">
        <v>165</v>
      </c>
      <c r="O11" s="276">
        <v>12</v>
      </c>
      <c r="P11" s="274" t="str">
        <f>IF($A11="","",INDEX('編成'!$M$16:$AI$62,MATCH($B11,'編成'!$AI$16:$AI$62,0),15))</f>
        <v>FC.SOUTHERN</v>
      </c>
      <c r="Q11" s="275">
        <f>IF($A11="","",INDEX('編成'!$M$16:$AI$62,MATCH($B11,'編成'!$AI$16:$AI$62,0),18))</f>
        <v>0</v>
      </c>
    </row>
    <row r="12" spans="1:17" ht="15" customHeight="1">
      <c r="A12" s="178">
        <f>IF(MAX('編成'!$AI$16:$AI$62)&lt;'記入'!$B12,"",INDEX('編成'!$M$16:$AI$62,MATCH('記入'!$B12,'編成'!$AI$16:$AI$62,0),2))</f>
        <v>241</v>
      </c>
      <c r="B12">
        <v>6</v>
      </c>
      <c r="C12" s="267" t="str">
        <f>IF(A12="","",INDEX('編成'!$M$16:$AI$62,MATCH($B12,'編成'!$AI$16:$AI$62,0),4))</f>
        <v>⑤</v>
      </c>
      <c r="D12" s="268">
        <f>IF($A12="","",INDEX('編成'!$M$16:$AI$62,MATCH($B12,'編成'!$AI$16:$AI$62,0),5))</f>
        <v>41790</v>
      </c>
      <c r="E12" s="269" t="str">
        <f>IF($A12="","",INDEX('編成'!$M$16:$AI$62,MATCH($B12,'編成'!$AI$16:$AI$62,0),7))</f>
        <v>土</v>
      </c>
      <c r="F12" s="269" t="str">
        <f>IF($A12="","",INDEX('編成'!$M$16:$AI$62,MATCH($B12,'編成'!$AI$16:$AI$62,0),8))</f>
        <v>ドーム</v>
      </c>
      <c r="G12" s="270">
        <f>IF($A12="","",INDEX('編成'!$M$16:$AI$62,MATCH($B12,'編成'!$AI$16:$AI$62,0),10))</f>
        <v>0</v>
      </c>
      <c r="H12" s="271" t="str">
        <f>IF($A12="","",INDEX('編成'!$M$16:$AI$62,MATCH($B12,'編成'!$AI$16:$AI$62,0),12))</f>
        <v>ＦＣ小松</v>
      </c>
      <c r="I12" s="276">
        <v>2</v>
      </c>
      <c r="J12" s="272" t="s">
        <v>164</v>
      </c>
      <c r="K12" s="276">
        <v>1</v>
      </c>
      <c r="L12" s="273" t="s">
        <v>159</v>
      </c>
      <c r="M12" s="276">
        <v>0</v>
      </c>
      <c r="N12" s="272" t="s">
        <v>165</v>
      </c>
      <c r="O12" s="276">
        <v>4</v>
      </c>
      <c r="P12" s="274" t="str">
        <f>IF($A12="","",INDEX('編成'!$M$16:$AI$62,MATCH($B12,'編成'!$AI$16:$AI$62,0),15))</f>
        <v>FC.SOUTHERN</v>
      </c>
      <c r="Q12" s="275">
        <f>IF($A12="","",INDEX('編成'!$M$16:$AI$62,MATCH($B12,'編成'!$AI$16:$AI$62,0),18))</f>
        <v>0</v>
      </c>
    </row>
    <row r="13" spans="1:17" ht="15" customHeight="1">
      <c r="A13" s="178">
        <f>IF(MAX('編成'!$AI$16:$AI$62)&lt;'記入'!$B13,"",INDEX('編成'!$M$16:$AI$62,MATCH('記入'!$B13,'編成'!$AI$16:$AI$62,0),2))</f>
        <v>131</v>
      </c>
      <c r="B13">
        <v>7</v>
      </c>
      <c r="C13" s="267" t="str">
        <f>IF(A13="","",INDEX('編成'!$M$16:$AI$62,MATCH($B13,'編成'!$AI$16:$AI$62,0),4))</f>
        <v>⑤</v>
      </c>
      <c r="D13" s="268">
        <f>IF($A13="","",INDEX('編成'!$M$16:$AI$62,MATCH($B13,'編成'!$AI$16:$AI$62,0),5))</f>
        <v>41791</v>
      </c>
      <c r="E13" s="269" t="str">
        <f>IF($A13="","",INDEX('編成'!$M$16:$AI$62,MATCH($B13,'編成'!$AI$16:$AI$62,0),7))</f>
        <v>日</v>
      </c>
      <c r="F13" s="269" t="str">
        <f>IF($A13="","",INDEX('編成'!$M$16:$AI$62,MATCH($B13,'編成'!$AI$16:$AI$62,0),8))</f>
        <v>松任中Ｇ</v>
      </c>
      <c r="G13" s="270">
        <f>IF($A13="","",INDEX('編成'!$M$16:$AI$62,MATCH($B13,'編成'!$AI$16:$AI$62,0),10))</f>
        <v>0</v>
      </c>
      <c r="H13" s="271" t="str">
        <f>IF($A13="","",INDEX('編成'!$M$16:$AI$62,MATCH($B13,'編成'!$AI$16:$AI$62,0),12))</f>
        <v>松任中学校</v>
      </c>
      <c r="I13" s="276">
        <v>1</v>
      </c>
      <c r="J13" s="272" t="s">
        <v>164</v>
      </c>
      <c r="K13" s="276">
        <v>1</v>
      </c>
      <c r="L13" s="273" t="s">
        <v>159</v>
      </c>
      <c r="M13" s="276">
        <v>2</v>
      </c>
      <c r="N13" s="272" t="s">
        <v>165</v>
      </c>
      <c r="O13" s="276">
        <v>2</v>
      </c>
      <c r="P13" s="274" t="str">
        <f>IF($A13="","",INDEX('編成'!$M$16:$AI$62,MATCH($B13,'編成'!$AI$16:$AI$62,0),15))</f>
        <v>河北台ＳＣ</v>
      </c>
      <c r="Q13" s="275">
        <f>IF($A13="","",INDEX('編成'!$M$16:$AI$62,MATCH($B13,'編成'!$AI$16:$AI$62,0),18))</f>
        <v>0</v>
      </c>
    </row>
    <row r="14" spans="1:17" ht="15" customHeight="1">
      <c r="A14" s="178">
        <f>IF(MAX('編成'!$AI$16:$AI$62)&lt;'記入'!$B14,"",INDEX('編成'!$M$16:$AI$62,MATCH('記入'!$B14,'編成'!$AI$16:$AI$62,0),2))</f>
        <v>451</v>
      </c>
      <c r="B14">
        <v>8</v>
      </c>
      <c r="C14" s="267" t="str">
        <f>IF(A14="","",INDEX('編成'!$M$16:$AI$62,MATCH($B14,'編成'!$AI$16:$AI$62,0),4))</f>
        <v>⑤</v>
      </c>
      <c r="D14" s="268">
        <f>IF($A14="","",INDEX('編成'!$M$16:$AI$62,MATCH($B14,'編成'!$AI$16:$AI$62,0),5))</f>
        <v>41791</v>
      </c>
      <c r="E14" s="269" t="str">
        <f>IF($A14="","",INDEX('編成'!$M$16:$AI$62,MATCH($B14,'編成'!$AI$16:$AI$62,0),7))</f>
        <v>日</v>
      </c>
      <c r="F14" s="269" t="str">
        <f>IF($A14="","",INDEX('編成'!$M$16:$AI$62,MATCH($B14,'編成'!$AI$16:$AI$62,0),8))</f>
        <v>松任中Ｇ</v>
      </c>
      <c r="G14" s="270">
        <f>IF($A14="","",INDEX('編成'!$M$16:$AI$62,MATCH($B14,'編成'!$AI$16:$AI$62,0),10))</f>
        <v>0</v>
      </c>
      <c r="H14" s="271" t="str">
        <f>IF($A14="","",INDEX('編成'!$M$16:$AI$62,MATCH($B14,'編成'!$AI$16:$AI$62,0),12))</f>
        <v>FC.SOUTHERN</v>
      </c>
      <c r="I14" s="276">
        <v>9</v>
      </c>
      <c r="J14" s="272" t="s">
        <v>164</v>
      </c>
      <c r="K14" s="276">
        <v>6</v>
      </c>
      <c r="L14" s="273" t="s">
        <v>159</v>
      </c>
      <c r="M14" s="276">
        <v>0</v>
      </c>
      <c r="N14" s="272" t="s">
        <v>165</v>
      </c>
      <c r="O14" s="276">
        <v>0</v>
      </c>
      <c r="P14" s="274" t="str">
        <f>IF($A14="","",INDEX('編成'!$M$16:$AI$62,MATCH($B14,'編成'!$AI$16:$AI$62,0),15))</f>
        <v>根上中学校</v>
      </c>
      <c r="Q14" s="275">
        <f>IF($A14="","",INDEX('編成'!$M$16:$AI$62,MATCH($B14,'編成'!$AI$16:$AI$62,0),18))</f>
        <v>0</v>
      </c>
    </row>
    <row r="15" spans="1:17" ht="15" customHeight="1">
      <c r="A15" s="178">
        <f>IF(MAX('編成'!$AI$16:$AI$62)&lt;'記入'!$B15,"",INDEX('編成'!$M$16:$AI$62,MATCH('記入'!$B15,'編成'!$AI$16:$AI$62,0),2))</f>
        <v>141</v>
      </c>
      <c r="B15">
        <v>9</v>
      </c>
      <c r="C15" s="267" t="str">
        <f>IF(A15="","",INDEX('編成'!$M$16:$AI$62,MATCH($B15,'編成'!$AI$16:$AI$62,0),4))</f>
        <v>⑤</v>
      </c>
      <c r="D15" s="268">
        <f>IF($A15="","",INDEX('編成'!$M$16:$AI$62,MATCH($B15,'編成'!$AI$16:$AI$62,0),5))</f>
        <v>41797</v>
      </c>
      <c r="E15" s="269" t="str">
        <f>IF($A15="","",INDEX('編成'!$M$16:$AI$62,MATCH($B15,'編成'!$AI$16:$AI$62,0),7))</f>
        <v>土</v>
      </c>
      <c r="F15" s="269" t="str">
        <f>IF($A15="","",INDEX('編成'!$M$16:$AI$62,MATCH($B15,'編成'!$AI$16:$AI$62,0),8))</f>
        <v>高岡中Ｇ</v>
      </c>
      <c r="G15" s="270">
        <f>IF($A15="","",INDEX('編成'!$M$16:$AI$62,MATCH($B15,'編成'!$AI$16:$AI$62,0),10))</f>
        <v>0</v>
      </c>
      <c r="H15" s="271" t="str">
        <f>IF($A15="","",INDEX('編成'!$M$16:$AI$62,MATCH($B15,'編成'!$AI$16:$AI$62,0),12))</f>
        <v>松任中学校</v>
      </c>
      <c r="I15" s="276">
        <v>0</v>
      </c>
      <c r="J15" s="272" t="s">
        <v>164</v>
      </c>
      <c r="K15" s="276">
        <v>0</v>
      </c>
      <c r="L15" s="273" t="s">
        <v>159</v>
      </c>
      <c r="M15" s="276">
        <v>3</v>
      </c>
      <c r="N15" s="272" t="s">
        <v>165</v>
      </c>
      <c r="O15" s="276">
        <v>7</v>
      </c>
      <c r="P15" s="274" t="str">
        <f>IF($A15="","",INDEX('編成'!$M$16:$AI$62,MATCH($B15,'編成'!$AI$16:$AI$62,0),15))</f>
        <v>FC.SOUTHERN</v>
      </c>
      <c r="Q15" s="275">
        <f>IF($A15="","",INDEX('編成'!$M$16:$AI$62,MATCH($B15,'編成'!$AI$16:$AI$62,0),18))</f>
        <v>0</v>
      </c>
    </row>
    <row r="16" spans="1:17" ht="15" customHeight="1">
      <c r="A16" s="178">
        <f>IF(MAX('編成'!$AI$16:$AI$62)&lt;'記入'!$B16,"",INDEX('編成'!$M$16:$AI$62,MATCH('記入'!$B16,'編成'!$AI$16:$AI$62,0),2))</f>
        <v>151</v>
      </c>
      <c r="B16">
        <v>10</v>
      </c>
      <c r="C16" s="267" t="str">
        <f>IF(A16="","",INDEX('編成'!$M$16:$AI$62,MATCH($B16,'編成'!$AI$16:$AI$62,0),4))</f>
        <v>⑤</v>
      </c>
      <c r="D16" s="268">
        <f>IF($A16="","",INDEX('編成'!$M$16:$AI$62,MATCH($B16,'編成'!$AI$16:$AI$62,0),5))</f>
        <v>41804</v>
      </c>
      <c r="E16" s="269" t="str">
        <f>IF($A16="","",INDEX('編成'!$M$16:$AI$62,MATCH($B16,'編成'!$AI$16:$AI$62,0),7))</f>
        <v>土</v>
      </c>
      <c r="F16" s="269" t="str">
        <f>IF($A16="","",INDEX('編成'!$M$16:$AI$62,MATCH($B16,'編成'!$AI$16:$AI$62,0),8))</f>
        <v>安原</v>
      </c>
      <c r="G16" s="270">
        <f>IF($A16="","",INDEX('編成'!$M$16:$AI$62,MATCH($B16,'編成'!$AI$16:$AI$62,0),10))</f>
        <v>0</v>
      </c>
      <c r="H16" s="271" t="str">
        <f>IF($A16="","",INDEX('編成'!$M$16:$AI$62,MATCH($B16,'編成'!$AI$16:$AI$62,0),12))</f>
        <v>松任中学校</v>
      </c>
      <c r="I16" s="276">
        <v>0</v>
      </c>
      <c r="J16" s="272" t="s">
        <v>164</v>
      </c>
      <c r="K16" s="276">
        <v>0</v>
      </c>
      <c r="L16" s="273" t="s">
        <v>159</v>
      </c>
      <c r="M16" s="276">
        <v>1</v>
      </c>
      <c r="N16" s="272" t="s">
        <v>165</v>
      </c>
      <c r="O16" s="276">
        <v>5</v>
      </c>
      <c r="P16" s="274" t="str">
        <f>IF($A16="","",INDEX('編成'!$M$16:$AI$62,MATCH($B16,'編成'!$AI$16:$AI$62,0),15))</f>
        <v>根上中学校</v>
      </c>
      <c r="Q16" s="275">
        <f>IF($A16="","",INDEX('編成'!$M$16:$AI$62,MATCH($B16,'編成'!$AI$16:$AI$62,0),18))</f>
        <v>0</v>
      </c>
    </row>
    <row r="17" spans="1:17" ht="15" customHeight="1">
      <c r="A17" s="178">
        <f>IF(MAX('編成'!$AI$16:$AI$62)&lt;'記入'!$B17,"",INDEX('編成'!$M$16:$AI$62,MATCH('記入'!$B17,'編成'!$AI$16:$AI$62,0),2))</f>
        <v>231</v>
      </c>
      <c r="B17">
        <v>11</v>
      </c>
      <c r="C17" s="267" t="str">
        <f>IF(A17="","",INDEX('編成'!$M$16:$AI$62,MATCH($B17,'編成'!$AI$16:$AI$62,0),4))</f>
        <v>⑥</v>
      </c>
      <c r="D17" s="268">
        <f>IF($A17="","",INDEX('編成'!$M$16:$AI$62,MATCH($B17,'編成'!$AI$16:$AI$62,0),5))</f>
        <v>41818</v>
      </c>
      <c r="E17" s="269" t="str">
        <f>IF($A17="","",INDEX('編成'!$M$16:$AI$62,MATCH($B17,'編成'!$AI$16:$AI$62,0),7))</f>
        <v>土</v>
      </c>
      <c r="F17" s="269" t="str">
        <f>IF($A17="","",INDEX('編成'!$M$16:$AI$62,MATCH($B17,'編成'!$AI$16:$AI$62,0),8))</f>
        <v>北部公園Ｇ</v>
      </c>
      <c r="G17" s="270">
        <f>IF($A17="","",INDEX('編成'!$M$16:$AI$62,MATCH($B17,'編成'!$AI$16:$AI$62,0),10))</f>
        <v>0</v>
      </c>
      <c r="H17" s="271" t="str">
        <f>IF($A17="","",INDEX('編成'!$M$16:$AI$62,MATCH($B17,'編成'!$AI$16:$AI$62,0),12))</f>
        <v>ＦＣ小松</v>
      </c>
      <c r="I17" s="276">
        <v>10</v>
      </c>
      <c r="J17" s="272" t="s">
        <v>164</v>
      </c>
      <c r="K17" s="276">
        <v>3</v>
      </c>
      <c r="L17" s="273" t="s">
        <v>159</v>
      </c>
      <c r="M17" s="276">
        <v>0</v>
      </c>
      <c r="N17" s="272" t="s">
        <v>165</v>
      </c>
      <c r="O17" s="276">
        <v>0</v>
      </c>
      <c r="P17" s="274" t="str">
        <f>IF($A17="","",INDEX('編成'!$M$16:$AI$62,MATCH($B17,'編成'!$AI$16:$AI$62,0),15))</f>
        <v>河北台ＳＣ</v>
      </c>
      <c r="Q17" s="275">
        <f>IF($A17="","",INDEX('編成'!$M$16:$AI$62,MATCH($B17,'編成'!$AI$16:$AI$62,0),18))</f>
        <v>0</v>
      </c>
    </row>
    <row r="18" spans="1:17" ht="15" customHeight="1">
      <c r="A18" s="178">
        <f>IF(MAX('編成'!$AI$16:$AI$62)&lt;'記入'!$B18,"",INDEX('編成'!$M$16:$AI$62,MATCH('記入'!$B18,'編成'!$AI$16:$AI$62,0),2))</f>
        <v>461</v>
      </c>
      <c r="B18">
        <v>12</v>
      </c>
      <c r="C18" s="267" t="str">
        <f>IF(A18="","",INDEX('編成'!$M$16:$AI$62,MATCH($B18,'編成'!$AI$16:$AI$62,0),4))</f>
        <v>⑥</v>
      </c>
      <c r="D18" s="268">
        <f>IF($A18="","",INDEX('編成'!$M$16:$AI$62,MATCH($B18,'編成'!$AI$16:$AI$62,0),5))</f>
        <v>41818</v>
      </c>
      <c r="E18" s="269" t="str">
        <f>IF($A18="","",INDEX('編成'!$M$16:$AI$62,MATCH($B18,'編成'!$AI$16:$AI$62,0),7))</f>
        <v>土</v>
      </c>
      <c r="F18" s="269" t="str">
        <f>IF($A18="","",INDEX('編成'!$M$16:$AI$62,MATCH($B18,'編成'!$AI$16:$AI$62,0),8))</f>
        <v>北部公園Ｇ</v>
      </c>
      <c r="G18" s="270">
        <f>IF($A18="","",INDEX('編成'!$M$16:$AI$62,MATCH($B18,'編成'!$AI$16:$AI$62,0),10))</f>
        <v>0</v>
      </c>
      <c r="H18" s="271" t="str">
        <f>IF($A18="","",INDEX('編成'!$M$16:$AI$62,MATCH($B18,'編成'!$AI$16:$AI$62,0),12))</f>
        <v>FC.SOUTHERN</v>
      </c>
      <c r="I18" s="276">
        <v>0</v>
      </c>
      <c r="J18" s="272" t="s">
        <v>164</v>
      </c>
      <c r="K18" s="276">
        <v>0</v>
      </c>
      <c r="L18" s="273" t="s">
        <v>159</v>
      </c>
      <c r="M18" s="276">
        <v>2</v>
      </c>
      <c r="N18" s="272" t="s">
        <v>165</v>
      </c>
      <c r="O18" s="276">
        <v>2</v>
      </c>
      <c r="P18" s="274" t="str">
        <f>IF($A18="","",INDEX('編成'!$M$16:$AI$62,MATCH($B18,'編成'!$AI$16:$AI$62,0),15))</f>
        <v>ＦＣ．ＴＯＮ</v>
      </c>
      <c r="Q18" s="275">
        <f>IF($A18="","",INDEX('編成'!$M$16:$AI$62,MATCH($B18,'編成'!$AI$16:$AI$62,0),18))</f>
        <v>0</v>
      </c>
    </row>
    <row r="19" spans="1:17" ht="15" customHeight="1">
      <c r="A19" s="178">
        <f>IF(MAX('編成'!$AI$16:$AI$62)&lt;'記入'!$B19,"",INDEX('編成'!$M$16:$AI$62,MATCH('記入'!$B19,'編成'!$AI$16:$AI$62,0),2))</f>
        <v>121</v>
      </c>
      <c r="B19">
        <v>13</v>
      </c>
      <c r="C19" s="267" t="str">
        <f>IF(A19="","",INDEX('編成'!$M$16:$AI$62,MATCH($B19,'編成'!$AI$16:$AI$62,0),4))</f>
        <v>⑥</v>
      </c>
      <c r="D19" s="268">
        <f>IF($A19="","",INDEX('編成'!$M$16:$AI$62,MATCH($B19,'編成'!$AI$16:$AI$62,0),5))</f>
        <v>41819</v>
      </c>
      <c r="E19" s="269" t="str">
        <f>IF($A19="","",INDEX('編成'!$M$16:$AI$62,MATCH($B19,'編成'!$AI$16:$AI$62,0),7))</f>
        <v>日</v>
      </c>
      <c r="F19" s="269" t="str">
        <f>IF($A19="","",INDEX('編成'!$M$16:$AI$62,MATCH($B19,'編成'!$AI$16:$AI$62,0),8))</f>
        <v>松任公園Ｇ</v>
      </c>
      <c r="G19" s="270">
        <f>IF($A19="","",INDEX('編成'!$M$16:$AI$62,MATCH($B19,'編成'!$AI$16:$AI$62,0),10))</f>
        <v>0</v>
      </c>
      <c r="H19" s="271" t="str">
        <f>IF($A19="","",INDEX('編成'!$M$16:$AI$62,MATCH($B19,'編成'!$AI$16:$AI$62,0),12))</f>
        <v>松任中学校</v>
      </c>
      <c r="I19" s="276">
        <v>0</v>
      </c>
      <c r="J19" s="272" t="s">
        <v>164</v>
      </c>
      <c r="K19" s="276">
        <v>0</v>
      </c>
      <c r="L19" s="273" t="s">
        <v>159</v>
      </c>
      <c r="M19" s="276">
        <v>4</v>
      </c>
      <c r="N19" s="272" t="s">
        <v>165</v>
      </c>
      <c r="O19" s="276">
        <v>11</v>
      </c>
      <c r="P19" s="274" t="str">
        <f>IF($A19="","",INDEX('編成'!$M$16:$AI$62,MATCH($B19,'編成'!$AI$16:$AI$62,0),15))</f>
        <v>ＦＣ小松</v>
      </c>
      <c r="Q19" s="275">
        <f>IF($A19="","",INDEX('編成'!$M$16:$AI$62,MATCH($B19,'編成'!$AI$16:$AI$62,0),18))</f>
        <v>0</v>
      </c>
    </row>
    <row r="20" spans="1:17" ht="15" customHeight="1">
      <c r="A20" s="178">
        <f>IF(MAX('編成'!$AI$16:$AI$62)&lt;'記入'!$B20,"",INDEX('編成'!$M$16:$AI$62,MATCH('記入'!$B20,'編成'!$AI$16:$AI$62,0),2))</f>
        <v>361</v>
      </c>
      <c r="B20">
        <v>14</v>
      </c>
      <c r="C20" s="267" t="str">
        <f>IF(A20="","",INDEX('編成'!$M$16:$AI$62,MATCH($B20,'編成'!$AI$16:$AI$62,0),4))</f>
        <v>⑦</v>
      </c>
      <c r="D20" s="268">
        <f>IF($A20="","",INDEX('編成'!$M$16:$AI$62,MATCH($B20,'編成'!$AI$16:$AI$62,0),5))</f>
        <v>41826</v>
      </c>
      <c r="E20" s="269" t="str">
        <f>IF($A20="","",INDEX('編成'!$M$16:$AI$62,MATCH($B20,'編成'!$AI$16:$AI$62,0),7))</f>
        <v>日</v>
      </c>
      <c r="F20" s="269" t="str">
        <f>IF($A20="","",INDEX('編成'!$M$16:$AI$62,MATCH($B20,'編成'!$AI$16:$AI$62,0),8))</f>
        <v>北星中Ｇ</v>
      </c>
      <c r="G20" s="270">
        <f>IF($A20="","",INDEX('編成'!$M$16:$AI$62,MATCH($B20,'編成'!$AI$16:$AI$62,0),10))</f>
        <v>0</v>
      </c>
      <c r="H20" s="271" t="str">
        <f>IF($A20="","",INDEX('編成'!$M$16:$AI$62,MATCH($B20,'編成'!$AI$16:$AI$62,0),12))</f>
        <v>河北台ＳＣ</v>
      </c>
      <c r="I20" s="276">
        <v>1</v>
      </c>
      <c r="J20" s="272" t="s">
        <v>164</v>
      </c>
      <c r="K20" s="276">
        <v>1</v>
      </c>
      <c r="L20" s="273" t="s">
        <v>159</v>
      </c>
      <c r="M20" s="276">
        <v>3</v>
      </c>
      <c r="N20" s="272" t="s">
        <v>165</v>
      </c>
      <c r="O20" s="276">
        <v>7</v>
      </c>
      <c r="P20" s="274" t="str">
        <f>IF($A20="","",INDEX('編成'!$M$16:$AI$62,MATCH($B20,'編成'!$AI$16:$AI$62,0),15))</f>
        <v>ＦＣ．ＴＯＮ</v>
      </c>
      <c r="Q20" s="275">
        <f>IF($A20="","",INDEX('編成'!$M$16:$AI$62,MATCH($B20,'編成'!$AI$16:$AI$62,0),18))</f>
        <v>0</v>
      </c>
    </row>
    <row r="21" spans="1:17" ht="15" customHeight="1">
      <c r="A21" s="178">
        <f>IF(MAX('編成'!$AI$16:$AI$62)&lt;'記入'!$B21,"",INDEX('編成'!$M$16:$AI$62,MATCH('記入'!$B21,'編成'!$AI$16:$AI$62,0),2))</f>
        <v>161</v>
      </c>
      <c r="B21">
        <v>15</v>
      </c>
      <c r="C21" s="267" t="str">
        <f>IF(A21="","",INDEX('編成'!$M$16:$AI$62,MATCH($B21,'編成'!$AI$16:$AI$62,0),4))</f>
        <v>⑦</v>
      </c>
      <c r="D21" s="268">
        <f>IF($A21="","",INDEX('編成'!$M$16:$AI$62,MATCH($B21,'編成'!$AI$16:$AI$62,0),5))</f>
        <v>41833</v>
      </c>
      <c r="E21" s="269" t="str">
        <f>IF($A21="","",INDEX('編成'!$M$16:$AI$62,MATCH($B21,'編成'!$AI$16:$AI$62,0),7))</f>
        <v>日</v>
      </c>
      <c r="F21" s="269" t="str">
        <f>IF($A21="","",INDEX('編成'!$M$16:$AI$62,MATCH($B21,'編成'!$AI$16:$AI$62,0),8))</f>
        <v>松任中Ｇ</v>
      </c>
      <c r="G21" s="270">
        <f>IF($A21="","",INDEX('編成'!$M$16:$AI$62,MATCH($B21,'編成'!$AI$16:$AI$62,0),10))</f>
        <v>0</v>
      </c>
      <c r="H21" s="271" t="str">
        <f>IF($A21="","",INDEX('編成'!$M$16:$AI$62,MATCH($B21,'編成'!$AI$16:$AI$62,0),12))</f>
        <v>松任中学校</v>
      </c>
      <c r="I21" s="276">
        <v>0</v>
      </c>
      <c r="J21" s="272" t="s">
        <v>164</v>
      </c>
      <c r="K21" s="276">
        <v>0</v>
      </c>
      <c r="L21" s="273" t="s">
        <v>159</v>
      </c>
      <c r="M21" s="276">
        <v>0</v>
      </c>
      <c r="N21" s="272" t="s">
        <v>165</v>
      </c>
      <c r="O21" s="276">
        <v>5</v>
      </c>
      <c r="P21" s="274" t="str">
        <f>IF($A21="","",INDEX('編成'!$M$16:$AI$62,MATCH($B21,'編成'!$AI$16:$AI$62,0),15))</f>
        <v>ＦＣ．ＴＯＮ</v>
      </c>
      <c r="Q21" s="275">
        <f>IF($A21="","",INDEX('編成'!$M$16:$AI$62,MATCH($B21,'編成'!$AI$16:$AI$62,0),18))</f>
        <v>0</v>
      </c>
    </row>
    <row r="22" spans="1:17" ht="15" customHeight="1">
      <c r="A22" s="178">
        <f>IF(MAX('編成'!$AI$16:$AI$62)&lt;'記入'!$B22,"",INDEX('編成'!$M$16:$AI$62,MATCH('記入'!$B22,'編成'!$AI$16:$AI$62,0),2))</f>
        <v>162</v>
      </c>
      <c r="B22">
        <v>16</v>
      </c>
      <c r="C22" s="267" t="str">
        <f>IF(A22="","",INDEX('編成'!$M$16:$AI$62,MATCH($B22,'編成'!$AI$16:$AI$62,0),4))</f>
        <v>⑧</v>
      </c>
      <c r="D22" s="268">
        <f>IF($A22="","",INDEX('編成'!$M$16:$AI$62,MATCH($B22,'編成'!$AI$16:$AI$62,0),5))</f>
        <v>41847</v>
      </c>
      <c r="E22" s="269" t="str">
        <f>IF($A22="","",INDEX('編成'!$M$16:$AI$62,MATCH($B22,'編成'!$AI$16:$AI$62,0),7))</f>
        <v>日</v>
      </c>
      <c r="F22" s="269" t="str">
        <f>IF($A22="","",INDEX('編成'!$M$16:$AI$62,MATCH($B22,'編成'!$AI$16:$AI$62,0),8))</f>
        <v>松任中Ｇ</v>
      </c>
      <c r="G22" s="270">
        <f>IF($A22="","",INDEX('編成'!$M$16:$AI$62,MATCH($B22,'編成'!$AI$16:$AI$62,0),10))</f>
        <v>0</v>
      </c>
      <c r="H22" s="271" t="str">
        <f>IF($A22="","",INDEX('編成'!$M$16:$AI$62,MATCH($B22,'編成'!$AI$16:$AI$62,0),12))</f>
        <v>松任中学校</v>
      </c>
      <c r="I22" s="276">
        <v>0</v>
      </c>
      <c r="J22" s="272" t="s">
        <v>164</v>
      </c>
      <c r="K22" s="276">
        <v>0</v>
      </c>
      <c r="L22" s="273" t="s">
        <v>159</v>
      </c>
      <c r="M22" s="276">
        <v>0</v>
      </c>
      <c r="N22" s="272" t="s">
        <v>165</v>
      </c>
      <c r="O22" s="276">
        <v>3</v>
      </c>
      <c r="P22" s="274" t="str">
        <f>IF($A22="","",INDEX('編成'!$M$16:$AI$62,MATCH($B22,'編成'!$AI$16:$AI$62,0),15))</f>
        <v>ＦＣ．ＴＯＮ</v>
      </c>
      <c r="Q22" s="275">
        <f>IF($A22="","",INDEX('編成'!$M$16:$AI$62,MATCH($B22,'編成'!$AI$16:$AI$62,0),18))</f>
        <v>0</v>
      </c>
    </row>
    <row r="23" spans="1:17" ht="15" customHeight="1">
      <c r="A23" s="178">
        <f>IF(MAX('編成'!$AI$16:$AI$62)&lt;'記入'!$B23,"",INDEX('編成'!$M$16:$AI$62,MATCH('記入'!$B23,'編成'!$AI$16:$AI$62,0),2))</f>
        <v>342</v>
      </c>
      <c r="B23">
        <v>17</v>
      </c>
      <c r="C23" s="267" t="str">
        <f>IF(A23="","",INDEX('編成'!$M$16:$AI$62,MATCH($B23,'編成'!$AI$16:$AI$62,0),4))</f>
        <v>⑧</v>
      </c>
      <c r="D23" s="268">
        <f>IF($A23="","",INDEX('編成'!$M$16:$AI$62,MATCH($B23,'編成'!$AI$16:$AI$62,0),5))</f>
        <v>41847</v>
      </c>
      <c r="E23" s="269" t="str">
        <f>IF($A23="","",INDEX('編成'!$M$16:$AI$62,MATCH($B23,'編成'!$AI$16:$AI$62,0),7))</f>
        <v>日</v>
      </c>
      <c r="F23" s="269" t="str">
        <f>IF($A23="","",INDEX('編成'!$M$16:$AI$62,MATCH($B23,'編成'!$AI$16:$AI$62,0),8))</f>
        <v>松任中Ｇ</v>
      </c>
      <c r="G23" s="270">
        <f>IF($A23="","",INDEX('編成'!$M$16:$AI$62,MATCH($B23,'編成'!$AI$16:$AI$62,0),10))</f>
        <v>0</v>
      </c>
      <c r="H23" s="271" t="str">
        <f>IF($A23="","",INDEX('編成'!$M$16:$AI$62,MATCH($B23,'編成'!$AI$16:$AI$62,0),12))</f>
        <v>河北台ＳＣ</v>
      </c>
      <c r="I23" s="276">
        <v>0</v>
      </c>
      <c r="J23" s="272" t="s">
        <v>164</v>
      </c>
      <c r="K23" s="276">
        <v>0</v>
      </c>
      <c r="L23" s="273" t="s">
        <v>159</v>
      </c>
      <c r="M23" s="276">
        <v>1</v>
      </c>
      <c r="N23" s="272" t="s">
        <v>165</v>
      </c>
      <c r="O23" s="276">
        <v>6</v>
      </c>
      <c r="P23" s="274" t="str">
        <f>IF($A23="","",INDEX('編成'!$M$16:$AI$62,MATCH($B23,'編成'!$AI$16:$AI$62,0),15))</f>
        <v>FC.SOUTHERN</v>
      </c>
      <c r="Q23" s="275">
        <f>IF($A23="","",INDEX('編成'!$M$16:$AI$62,MATCH($B23,'編成'!$AI$16:$AI$62,0),18))</f>
        <v>0</v>
      </c>
    </row>
    <row r="24" spans="1:17" ht="15" customHeight="1">
      <c r="A24" s="178">
        <f>IF(MAX('編成'!$AI$16:$AI$62)&lt;'記入'!$B24,"",INDEX('編成'!$M$16:$AI$62,MATCH('記入'!$B24,'編成'!$AI$16:$AI$62,0),2))</f>
        <v>562</v>
      </c>
      <c r="B24">
        <v>18</v>
      </c>
      <c r="C24" s="267" t="str">
        <f>IF(A24="","",INDEX('編成'!$M$16:$AI$62,MATCH($B24,'編成'!$AI$16:$AI$62,0),4))</f>
        <v>⑨</v>
      </c>
      <c r="D24" s="268">
        <f>IF($A24="","",INDEX('編成'!$M$16:$AI$62,MATCH($B24,'編成'!$AI$16:$AI$62,0),5))</f>
        <v>41860</v>
      </c>
      <c r="E24" s="269" t="str">
        <f>IF($A24="","",INDEX('編成'!$M$16:$AI$62,MATCH($B24,'編成'!$AI$16:$AI$62,0),7))</f>
        <v>土</v>
      </c>
      <c r="F24" s="269" t="str">
        <f>IF($A24="","",INDEX('編成'!$M$16:$AI$62,MATCH($B24,'編成'!$AI$16:$AI$62,0),8))</f>
        <v>野田中Ｇ</v>
      </c>
      <c r="G24" s="270">
        <f>IF($A24="","",INDEX('編成'!$M$16:$AI$62,MATCH($B24,'編成'!$AI$16:$AI$62,0),10))</f>
        <v>0</v>
      </c>
      <c r="H24" s="271" t="str">
        <f>IF($A24="","",INDEX('編成'!$M$16:$AI$62,MATCH($B24,'編成'!$AI$16:$AI$62,0),12))</f>
        <v>根上中学校</v>
      </c>
      <c r="I24" s="276">
        <v>0</v>
      </c>
      <c r="J24" s="272" t="s">
        <v>164</v>
      </c>
      <c r="K24" s="276">
        <v>0</v>
      </c>
      <c r="L24" s="273" t="s">
        <v>159</v>
      </c>
      <c r="M24" s="276">
        <v>1</v>
      </c>
      <c r="N24" s="272" t="s">
        <v>165</v>
      </c>
      <c r="O24" s="276">
        <v>3</v>
      </c>
      <c r="P24" s="274" t="str">
        <f>IF($A24="","",INDEX('編成'!$M$16:$AI$62,MATCH($B24,'編成'!$AI$16:$AI$62,0),15))</f>
        <v>ＦＣ．ＴＯＮ</v>
      </c>
      <c r="Q24" s="275">
        <f>IF($A24="","",INDEX('編成'!$M$16:$AI$62,MATCH($B24,'編成'!$AI$16:$AI$62,0),18))</f>
        <v>0</v>
      </c>
    </row>
    <row r="25" spans="1:17" ht="15" customHeight="1">
      <c r="A25" s="178">
        <f>IF(MAX('編成'!$AI$16:$AI$62)&lt;'記入'!$B25,"",INDEX('編成'!$M$16:$AI$62,MATCH('記入'!$B25,'編成'!$AI$16:$AI$62,0),2))</f>
        <v>142</v>
      </c>
      <c r="B25">
        <v>19</v>
      </c>
      <c r="C25" s="267" t="str">
        <f>IF(A25="","",INDEX('編成'!$M$16:$AI$62,MATCH($B25,'編成'!$AI$16:$AI$62,0),4))</f>
        <v>⑨</v>
      </c>
      <c r="D25" s="268">
        <f>IF($A25="","",INDEX('編成'!$M$16:$AI$62,MATCH($B25,'編成'!$AI$16:$AI$62,0),5))</f>
        <v>41860</v>
      </c>
      <c r="E25" s="269" t="str">
        <f>IF($A25="","",INDEX('編成'!$M$16:$AI$62,MATCH($B25,'編成'!$AI$16:$AI$62,0),7))</f>
        <v>土</v>
      </c>
      <c r="F25" s="269" t="str">
        <f>IF($A25="","",INDEX('編成'!$M$16:$AI$62,MATCH($B25,'編成'!$AI$16:$AI$62,0),8))</f>
        <v>松任中Ｇ</v>
      </c>
      <c r="G25" s="270">
        <f>IF($A25="","",INDEX('編成'!$M$16:$AI$62,MATCH($B25,'編成'!$AI$16:$AI$62,0),10))</f>
        <v>0</v>
      </c>
      <c r="H25" s="271" t="str">
        <f>IF($A25="","",INDEX('編成'!$M$16:$AI$62,MATCH($B25,'編成'!$AI$16:$AI$62,0),12))</f>
        <v>松任中学校</v>
      </c>
      <c r="I25" s="276">
        <v>0</v>
      </c>
      <c r="J25" s="272" t="s">
        <v>164</v>
      </c>
      <c r="K25" s="276">
        <v>0</v>
      </c>
      <c r="L25" s="273" t="s">
        <v>159</v>
      </c>
      <c r="M25" s="276">
        <v>2</v>
      </c>
      <c r="N25" s="272" t="s">
        <v>165</v>
      </c>
      <c r="O25" s="276">
        <v>3</v>
      </c>
      <c r="P25" s="274" t="str">
        <f>IF($A25="","",INDEX('編成'!$M$16:$AI$62,MATCH($B25,'編成'!$AI$16:$AI$62,0),15))</f>
        <v>FC.SOUTHERN</v>
      </c>
      <c r="Q25" s="275">
        <f>IF($A25="","",INDEX('編成'!$M$16:$AI$62,MATCH($B25,'編成'!$AI$16:$AI$62,0),18))</f>
        <v>0</v>
      </c>
    </row>
    <row r="26" spans="1:17" ht="15" customHeight="1" thickBot="1">
      <c r="A26" s="178">
        <f>IF(MAX('編成'!$AI$16:$AI$62)&lt;'記入'!$B26,"",INDEX('編成'!$M$16:$AI$62,MATCH('記入'!$B26,'編成'!$AI$16:$AI$62,0),2))</f>
        <v>232</v>
      </c>
      <c r="B26" s="248">
        <v>20</v>
      </c>
      <c r="C26" s="291" t="str">
        <f>IF(A26="","",INDEX('編成'!$M$16:$AI$62,MATCH($B26,'編成'!$AI$16:$AI$62,0),4))</f>
        <v>⑨</v>
      </c>
      <c r="D26" s="292">
        <f>IF($A26="","",INDEX('編成'!$M$16:$AI$62,MATCH($B26,'編成'!$AI$16:$AI$62,0),5))</f>
        <v>41860</v>
      </c>
      <c r="E26" s="293" t="str">
        <f>IF($A26="","",INDEX('編成'!$M$16:$AI$62,MATCH($B26,'編成'!$AI$16:$AI$62,0),7))</f>
        <v>土</v>
      </c>
      <c r="F26" s="293" t="str">
        <f>IF($A26="","",INDEX('編成'!$M$16:$AI$62,MATCH($B26,'編成'!$AI$16:$AI$62,0),8))</f>
        <v>松任中Ｇ</v>
      </c>
      <c r="G26" s="294">
        <f>IF($A26="","",INDEX('編成'!$M$16:$AI$62,MATCH($B26,'編成'!$AI$16:$AI$62,0),10))</f>
        <v>0</v>
      </c>
      <c r="H26" s="295" t="str">
        <f>IF($A26="","",INDEX('編成'!$M$16:$AI$62,MATCH($B26,'編成'!$AI$16:$AI$62,0),12))</f>
        <v>ＦＣ小松</v>
      </c>
      <c r="I26" s="296">
        <v>1</v>
      </c>
      <c r="J26" s="297" t="s">
        <v>164</v>
      </c>
      <c r="K26" s="296">
        <v>1</v>
      </c>
      <c r="L26" s="298" t="s">
        <v>159</v>
      </c>
      <c r="M26" s="296">
        <v>0</v>
      </c>
      <c r="N26" s="297" t="s">
        <v>165</v>
      </c>
      <c r="O26" s="296">
        <v>0</v>
      </c>
      <c r="P26" s="299" t="str">
        <f>IF($A26="","",INDEX('編成'!$M$16:$AI$62,MATCH($B26,'編成'!$AI$16:$AI$62,0),15))</f>
        <v>河北台ＳＣ</v>
      </c>
      <c r="Q26" s="300">
        <f>IF($A26="","",INDEX('編成'!$M$16:$AI$62,MATCH($B26,'編成'!$AI$16:$AI$62,0),18))</f>
        <v>0</v>
      </c>
    </row>
    <row r="27" spans="1:17" ht="15" customHeight="1">
      <c r="A27" s="178">
        <f>IF(MAX('編成'!$AI$16:$AI$62)&lt;'記入'!$B27,"",INDEX('編成'!$M$16:$AI$62,MATCH('記入'!$B27,'編成'!$AI$16:$AI$62,0),2))</f>
        <v>152</v>
      </c>
      <c r="B27" s="301">
        <v>21</v>
      </c>
      <c r="C27" s="363" t="str">
        <f>IF(A27="","",INDEX('編成'!$M$16:$AI$62,MATCH($B27,'編成'!$AI$16:$AI$62,0),4))</f>
        <v>⑩</v>
      </c>
      <c r="D27" s="364">
        <f>IF($A27="","",INDEX('編成'!$M$16:$AI$62,MATCH($B27,'編成'!$AI$16:$AI$62,0),5))</f>
        <v>41888</v>
      </c>
      <c r="E27" s="365" t="str">
        <f>IF($A27="","",INDEX('編成'!$M$16:$AI$62,MATCH($B27,'編成'!$AI$16:$AI$62,0),7))</f>
        <v>土</v>
      </c>
      <c r="F27" s="365" t="str">
        <f>IF($A27="","",INDEX('編成'!$M$16:$AI$62,MATCH($B27,'編成'!$AI$16:$AI$62,0),8))</f>
        <v>北星中Ｇ</v>
      </c>
      <c r="G27" s="366">
        <f>IF($A27="","",INDEX('編成'!$M$16:$AI$62,MATCH($B27,'編成'!$AI$16:$AI$62,0),10))</f>
        <v>0</v>
      </c>
      <c r="H27" s="367" t="str">
        <f>IF($A27="","",INDEX('編成'!$M$16:$AI$62,MATCH($B27,'編成'!$AI$16:$AI$62,0),12))</f>
        <v>松任中学校</v>
      </c>
      <c r="I27" s="368">
        <v>0</v>
      </c>
      <c r="J27" s="369" t="s">
        <v>164</v>
      </c>
      <c r="K27" s="368">
        <v>0</v>
      </c>
      <c r="L27" s="370" t="s">
        <v>159</v>
      </c>
      <c r="M27" s="368">
        <v>1</v>
      </c>
      <c r="N27" s="369" t="s">
        <v>165</v>
      </c>
      <c r="O27" s="368">
        <v>3</v>
      </c>
      <c r="P27" s="371" t="str">
        <f>IF($A27="","",INDEX('編成'!$M$16:$AI$62,MATCH($B27,'編成'!$AI$16:$AI$62,0),15))</f>
        <v>根上中学校</v>
      </c>
      <c r="Q27" s="372">
        <f>IF($A27="","",INDEX('編成'!$M$16:$AI$62,MATCH($B27,'編成'!$AI$16:$AI$62,0),18))</f>
        <v>0</v>
      </c>
    </row>
    <row r="28" spans="1:17" ht="15" customHeight="1">
      <c r="A28" s="178">
        <f>IF(MAX('編成'!$AI$16:$AI$62)&lt;'記入'!$B28,"",INDEX('編成'!$M$16:$AI$62,MATCH('記入'!$B28,'編成'!$AI$16:$AI$62,0),2))</f>
        <v>352</v>
      </c>
      <c r="B28">
        <v>22</v>
      </c>
      <c r="C28" s="267" t="str">
        <f>IF(A28="","",INDEX('編成'!$M$16:$AI$62,MATCH($B28,'編成'!$AI$16:$AI$62,0),4))</f>
        <v>⑩</v>
      </c>
      <c r="D28" s="268">
        <f>IF($A28="","",INDEX('編成'!$M$16:$AI$62,MATCH($B28,'編成'!$AI$16:$AI$62,0),5))</f>
        <v>41895</v>
      </c>
      <c r="E28" s="269" t="str">
        <f>IF($A28="","",INDEX('編成'!$M$16:$AI$62,MATCH($B28,'編成'!$AI$16:$AI$62,0),7))</f>
        <v>土</v>
      </c>
      <c r="F28" s="269" t="str">
        <f>IF($A28="","",INDEX('編成'!$M$16:$AI$62,MATCH($B28,'編成'!$AI$16:$AI$62,0),8))</f>
        <v>野田中Ｇ</v>
      </c>
      <c r="G28" s="270">
        <f>IF($A28="","",INDEX('編成'!$M$16:$AI$62,MATCH($B28,'編成'!$AI$16:$AI$62,0),10))</f>
        <v>0</v>
      </c>
      <c r="H28" s="271" t="str">
        <f>IF($A28="","",INDEX('編成'!$M$16:$AI$62,MATCH($B28,'編成'!$AI$16:$AI$62,0),12))</f>
        <v>河北台ＳＣ</v>
      </c>
      <c r="I28" s="276">
        <v>2</v>
      </c>
      <c r="J28" s="272" t="s">
        <v>164</v>
      </c>
      <c r="K28" s="276">
        <v>0</v>
      </c>
      <c r="L28" s="273" t="s">
        <v>159</v>
      </c>
      <c r="M28" s="276">
        <v>0</v>
      </c>
      <c r="N28" s="272" t="s">
        <v>165</v>
      </c>
      <c r="O28" s="276">
        <v>0</v>
      </c>
      <c r="P28" s="274" t="str">
        <f>IF($A28="","",INDEX('編成'!$M$16:$AI$62,MATCH($B28,'編成'!$AI$16:$AI$62,0),15))</f>
        <v>根上中学校</v>
      </c>
      <c r="Q28" s="275">
        <f>IF($A28="","",INDEX('編成'!$M$16:$AI$62,MATCH($B28,'編成'!$AI$16:$AI$62,0),18))</f>
        <v>0</v>
      </c>
    </row>
    <row r="29" spans="1:17" ht="15" customHeight="1">
      <c r="A29" s="178">
        <f>IF(MAX('編成'!$AI$16:$AI$62)&lt;'記入'!$B29,"",INDEX('編成'!$M$16:$AI$62,MATCH('記入'!$B29,'編成'!$AI$16:$AI$62,0),2))</f>
        <v>362</v>
      </c>
      <c r="B29">
        <v>23</v>
      </c>
      <c r="C29" s="267" t="str">
        <f>IF(A29="","",INDEX('編成'!$M$16:$AI$62,MATCH($B29,'編成'!$AI$16:$AI$62,0),4))</f>
        <v>⑪</v>
      </c>
      <c r="D29" s="268">
        <f>IF($A29="","",INDEX('編成'!$M$16:$AI$62,MATCH($B29,'編成'!$AI$16:$AI$62,0),5))</f>
        <v>41909</v>
      </c>
      <c r="E29" s="269" t="str">
        <f>IF($A29="","",INDEX('編成'!$M$16:$AI$62,MATCH($B29,'編成'!$AI$16:$AI$62,0),7))</f>
        <v>土</v>
      </c>
      <c r="F29" s="269" t="str">
        <f>IF($A29="","",INDEX('編成'!$M$16:$AI$62,MATCH($B29,'編成'!$AI$16:$AI$62,0),8))</f>
        <v>金沢市営</v>
      </c>
      <c r="G29" s="270">
        <f>IF($A29="","",INDEX('編成'!$M$16:$AI$62,MATCH($B29,'編成'!$AI$16:$AI$62,0),10))</f>
        <v>0</v>
      </c>
      <c r="H29" s="271" t="str">
        <f>IF($A29="","",INDEX('編成'!$M$16:$AI$62,MATCH($B29,'編成'!$AI$16:$AI$62,0),12))</f>
        <v>河北台ＳＣ</v>
      </c>
      <c r="I29" s="276"/>
      <c r="J29" s="272" t="s">
        <v>164</v>
      </c>
      <c r="K29" s="276"/>
      <c r="L29" s="273" t="s">
        <v>159</v>
      </c>
      <c r="M29" s="276"/>
      <c r="N29" s="272" t="s">
        <v>165</v>
      </c>
      <c r="O29" s="276"/>
      <c r="P29" s="274" t="str">
        <f>IF($A29="","",INDEX('編成'!$M$16:$AI$62,MATCH($B29,'編成'!$AI$16:$AI$62,0),15))</f>
        <v>ＦＣ．ＴＯＮ</v>
      </c>
      <c r="Q29" s="275">
        <f>IF($A29="","",INDEX('編成'!$M$16:$AI$62,MATCH($B29,'編成'!$AI$16:$AI$62,0),18))</f>
        <v>0</v>
      </c>
    </row>
    <row r="30" spans="1:17" ht="15" customHeight="1">
      <c r="A30" s="178">
        <f>IF(MAX('編成'!$AI$16:$AI$62)&lt;'記入'!$B30,"",INDEX('編成'!$M$16:$AI$62,MATCH('記入'!$B30,'編成'!$AI$16:$AI$62,0),2))</f>
        <v>242</v>
      </c>
      <c r="B30">
        <v>24</v>
      </c>
      <c r="C30" s="267" t="str">
        <f>IF(A30="","",INDEX('編成'!$M$16:$AI$62,MATCH($B30,'編成'!$AI$16:$AI$62,0),4))</f>
        <v>⑪</v>
      </c>
      <c r="D30" s="268">
        <f>IF($A30="","",INDEX('編成'!$M$16:$AI$62,MATCH($B30,'編成'!$AI$16:$AI$62,0),5))</f>
        <v>41909</v>
      </c>
      <c r="E30" s="269" t="str">
        <f>IF($A30="","",INDEX('編成'!$M$16:$AI$62,MATCH($B30,'編成'!$AI$16:$AI$62,0),7))</f>
        <v>土</v>
      </c>
      <c r="F30" s="269" t="str">
        <f>IF($A30="","",INDEX('編成'!$M$16:$AI$62,MATCH($B30,'編成'!$AI$16:$AI$62,0),8))</f>
        <v>能登島Ｂ</v>
      </c>
      <c r="G30" s="270">
        <f>IF($A30="","",INDEX('編成'!$M$16:$AI$62,MATCH($B30,'編成'!$AI$16:$AI$62,0),10))</f>
        <v>0</v>
      </c>
      <c r="H30" s="271" t="str">
        <f>IF($A30="","",INDEX('編成'!$M$16:$AI$62,MATCH($B30,'編成'!$AI$16:$AI$62,0),12))</f>
        <v>ＦＣ小松</v>
      </c>
      <c r="I30" s="276"/>
      <c r="J30" s="272" t="s">
        <v>164</v>
      </c>
      <c r="K30" s="276"/>
      <c r="L30" s="273" t="s">
        <v>159</v>
      </c>
      <c r="M30" s="276"/>
      <c r="N30" s="272" t="s">
        <v>165</v>
      </c>
      <c r="O30" s="276"/>
      <c r="P30" s="274" t="str">
        <f>IF($A30="","",INDEX('編成'!$M$16:$AI$62,MATCH($B30,'編成'!$AI$16:$AI$62,0),15))</f>
        <v>FC.SOUTHERN</v>
      </c>
      <c r="Q30" s="275">
        <f>IF($A30="","",INDEX('編成'!$M$16:$AI$62,MATCH($B30,'編成'!$AI$16:$AI$62,0),18))</f>
        <v>0</v>
      </c>
    </row>
    <row r="31" spans="1:17" ht="15" customHeight="1">
      <c r="A31" s="178">
        <f>IF(MAX('編成'!$AI$16:$AI$62)&lt;'記入'!$B31,"",INDEX('編成'!$M$16:$AI$62,MATCH('記入'!$B31,'編成'!$AI$16:$AI$62,0),2))</f>
        <v>252</v>
      </c>
      <c r="B31">
        <v>25</v>
      </c>
      <c r="C31" s="267" t="str">
        <f>IF(A31="","",INDEX('編成'!$M$16:$AI$62,MATCH($B31,'編成'!$AI$16:$AI$62,0),4))</f>
        <v>⑫</v>
      </c>
      <c r="D31" s="268">
        <f>IF($A31="","",INDEX('編成'!$M$16:$AI$62,MATCH($B31,'編成'!$AI$16:$AI$62,0),5))</f>
        <v>41916</v>
      </c>
      <c r="E31" s="269" t="str">
        <f>IF($A31="","",INDEX('編成'!$M$16:$AI$62,MATCH($B31,'編成'!$AI$16:$AI$62,0),7))</f>
        <v>土</v>
      </c>
      <c r="F31" s="269" t="str">
        <f>IF($A31="","",INDEX('編成'!$M$16:$AI$62,MATCH($B31,'編成'!$AI$16:$AI$62,0),8))</f>
        <v>松任公園Ｇ</v>
      </c>
      <c r="G31" s="270">
        <f>IF($A31="","",INDEX('編成'!$M$16:$AI$62,MATCH($B31,'編成'!$AI$16:$AI$62,0),10))</f>
        <v>0</v>
      </c>
      <c r="H31" s="271" t="str">
        <f>IF($A31="","",INDEX('編成'!$M$16:$AI$62,MATCH($B31,'編成'!$AI$16:$AI$62,0),12))</f>
        <v>ＦＣ小松</v>
      </c>
      <c r="I31" s="276"/>
      <c r="J31" s="272" t="s">
        <v>164</v>
      </c>
      <c r="K31" s="276"/>
      <c r="L31" s="273" t="s">
        <v>159</v>
      </c>
      <c r="M31" s="276"/>
      <c r="N31" s="272" t="s">
        <v>165</v>
      </c>
      <c r="O31" s="276"/>
      <c r="P31" s="274" t="str">
        <f>IF($A31="","",INDEX('編成'!$M$16:$AI$62,MATCH($B31,'編成'!$AI$16:$AI$62,0),15))</f>
        <v>根上中学校</v>
      </c>
      <c r="Q31" s="275">
        <f>IF($A31="","",INDEX('編成'!$M$16:$AI$62,MATCH($B31,'編成'!$AI$16:$AI$62,0),18))</f>
        <v>0</v>
      </c>
    </row>
    <row r="32" spans="1:17" ht="15" customHeight="1">
      <c r="A32" s="178">
        <f>IF(MAX('編成'!$AI$16:$AI$62)&lt;'記入'!$B32,"",INDEX('編成'!$M$16:$AI$62,MATCH('記入'!$B32,'編成'!$AI$16:$AI$62,0),2))</f>
        <v>262</v>
      </c>
      <c r="B32">
        <v>26</v>
      </c>
      <c r="C32" s="267" t="str">
        <f>IF(A32="","",INDEX('編成'!$M$16:$AI$62,MATCH($B32,'編成'!$AI$16:$AI$62,0),4))</f>
        <v>⑫</v>
      </c>
      <c r="D32" s="268">
        <f>IF($A32="","",INDEX('編成'!$M$16:$AI$62,MATCH($B32,'編成'!$AI$16:$AI$62,0),5))</f>
        <v>41916</v>
      </c>
      <c r="E32" s="269" t="str">
        <f>IF($A32="","",INDEX('編成'!$M$16:$AI$62,MATCH($B32,'編成'!$AI$16:$AI$62,0),7))</f>
        <v>土</v>
      </c>
      <c r="F32" s="269" t="str">
        <f>IF($A32="","",INDEX('編成'!$M$16:$AI$62,MATCH($B32,'編成'!$AI$16:$AI$62,0),8))</f>
        <v>松任公園Ｇ</v>
      </c>
      <c r="G32" s="270">
        <f>IF($A32="","",INDEX('編成'!$M$16:$AI$62,MATCH($B32,'編成'!$AI$16:$AI$62,0),10))</f>
        <v>0</v>
      </c>
      <c r="H32" s="271" t="str">
        <f>IF($A32="","",INDEX('編成'!$M$16:$AI$62,MATCH($B32,'編成'!$AI$16:$AI$62,0),12))</f>
        <v>ＦＣ小松</v>
      </c>
      <c r="I32" s="276"/>
      <c r="J32" s="272" t="s">
        <v>164</v>
      </c>
      <c r="K32" s="276"/>
      <c r="L32" s="273" t="s">
        <v>159</v>
      </c>
      <c r="M32" s="276"/>
      <c r="N32" s="272" t="s">
        <v>165</v>
      </c>
      <c r="O32" s="276"/>
      <c r="P32" s="274" t="str">
        <f>IF($A32="","",INDEX('編成'!$M$16:$AI$62,MATCH($B32,'編成'!$AI$16:$AI$62,0),15))</f>
        <v>ＦＣ．ＴＯＮ</v>
      </c>
      <c r="Q32" s="275">
        <f>IF($A32="","",INDEX('編成'!$M$16:$AI$62,MATCH($B32,'編成'!$AI$16:$AI$62,0),18))</f>
        <v>0</v>
      </c>
    </row>
    <row r="33" spans="1:17" ht="15" customHeight="1">
      <c r="A33" s="178">
        <f>IF(MAX('編成'!$AI$16:$AI$62)&lt;'記入'!$B33,"",INDEX('編成'!$M$16:$AI$62,MATCH('記入'!$B33,'編成'!$AI$16:$AI$62,0),2))</f>
        <v>462</v>
      </c>
      <c r="B33">
        <v>27</v>
      </c>
      <c r="C33" s="267" t="str">
        <f>IF(A33="","",INDEX('編成'!$M$16:$AI$62,MATCH($B33,'編成'!$AI$16:$AI$62,0),4))</f>
        <v>⑫</v>
      </c>
      <c r="D33" s="268">
        <f>IF($A33="","",INDEX('編成'!$M$16:$AI$62,MATCH($B33,'編成'!$AI$16:$AI$62,0),5))</f>
        <v>41916</v>
      </c>
      <c r="E33" s="269" t="str">
        <f>IF($A33="","",INDEX('編成'!$M$16:$AI$62,MATCH($B33,'編成'!$AI$16:$AI$62,0),7))</f>
        <v>土</v>
      </c>
      <c r="F33" s="269" t="str">
        <f>IF($A33="","",INDEX('編成'!$M$16:$AI$62,MATCH($B33,'編成'!$AI$16:$AI$62,0),8))</f>
        <v>松任公園Ｇ</v>
      </c>
      <c r="G33" s="270">
        <f>IF($A33="","",INDEX('編成'!$M$16:$AI$62,MATCH($B33,'編成'!$AI$16:$AI$62,0),10))</f>
        <v>0</v>
      </c>
      <c r="H33" s="271" t="str">
        <f>IF($A33="","",INDEX('編成'!$M$16:$AI$62,MATCH($B33,'編成'!$AI$16:$AI$62,0),12))</f>
        <v>FC.SOUTHERN</v>
      </c>
      <c r="I33" s="276"/>
      <c r="J33" s="272" t="s">
        <v>164</v>
      </c>
      <c r="K33" s="276"/>
      <c r="L33" s="273" t="s">
        <v>159</v>
      </c>
      <c r="M33" s="276"/>
      <c r="N33" s="272" t="s">
        <v>165</v>
      </c>
      <c r="O33" s="276"/>
      <c r="P33" s="274" t="str">
        <f>IF($A33="","",INDEX('編成'!$M$16:$AI$62,MATCH($B33,'編成'!$AI$16:$AI$62,0),15))</f>
        <v>ＦＣ．ＴＯＮ</v>
      </c>
      <c r="Q33" s="275">
        <f>IF($A33="","",INDEX('編成'!$M$16:$AI$62,MATCH($B33,'編成'!$AI$16:$AI$62,0),18))</f>
        <v>0</v>
      </c>
    </row>
    <row r="34" spans="1:17" ht="15" customHeight="1">
      <c r="A34" s="178">
        <f>IF(MAX('編成'!$AI$16:$AI$62)&lt;'記入'!$B34,"",INDEX('編成'!$M$16:$AI$62,MATCH('記入'!$B34,'編成'!$AI$16:$AI$62,0),2))</f>
        <v>122</v>
      </c>
      <c r="B34" s="301">
        <v>28</v>
      </c>
      <c r="C34" s="267" t="str">
        <f>IF(A34="","",INDEX('編成'!$M$16:$AI$62,MATCH($B34,'編成'!$AI$16:$AI$62,0),4))</f>
        <v>⑬</v>
      </c>
      <c r="D34" s="268">
        <f>IF($A34="","",INDEX('編成'!$M$16:$AI$62,MATCH($B34,'編成'!$AI$16:$AI$62,0),5))</f>
        <v>41930</v>
      </c>
      <c r="E34" s="269" t="str">
        <f>IF($A34="","",INDEX('編成'!$M$16:$AI$62,MATCH($B34,'編成'!$AI$16:$AI$62,0),7))</f>
        <v>土</v>
      </c>
      <c r="F34" s="269" t="str">
        <f>IF($A34="","",INDEX('編成'!$M$16:$AI$62,MATCH($B34,'編成'!$AI$16:$AI$62,0),8))</f>
        <v>松任中Ｇ</v>
      </c>
      <c r="G34" s="270">
        <f>IF($A34="","",INDEX('編成'!$M$16:$AI$62,MATCH($B34,'編成'!$AI$16:$AI$62,0),10))</f>
        <v>0</v>
      </c>
      <c r="H34" s="271" t="str">
        <f>IF($A34="","",INDEX('編成'!$M$16:$AI$62,MATCH($B34,'編成'!$AI$16:$AI$62,0),12))</f>
        <v>松任中学校</v>
      </c>
      <c r="I34" s="276"/>
      <c r="J34" s="272" t="s">
        <v>164</v>
      </c>
      <c r="K34" s="276"/>
      <c r="L34" s="273" t="s">
        <v>159</v>
      </c>
      <c r="M34" s="276"/>
      <c r="N34" s="272" t="s">
        <v>165</v>
      </c>
      <c r="O34" s="276"/>
      <c r="P34" s="274" t="str">
        <f>IF($A34="","",INDEX('編成'!$M$16:$AI$62,MATCH($B34,'編成'!$AI$16:$AI$62,0),15))</f>
        <v>ＦＣ小松</v>
      </c>
      <c r="Q34" s="275">
        <f>IF($A34="","",INDEX('編成'!$M$16:$AI$62,MATCH($B34,'編成'!$AI$16:$AI$62,0),18))</f>
        <v>0</v>
      </c>
    </row>
    <row r="35" spans="1:17" ht="15" customHeight="1">
      <c r="A35" s="178">
        <f>IF(MAX('編成'!$AI$16:$AI$62)&lt;'記入'!$B35,"",INDEX('編成'!$M$16:$AI$62,MATCH('記入'!$B35,'編成'!$AI$16:$AI$62,0),2))</f>
        <v>452</v>
      </c>
      <c r="B35">
        <v>29</v>
      </c>
      <c r="C35" s="282" t="str">
        <f>IF(A35="","",INDEX('編成'!$M$16:$AI$62,MATCH($B35,'編成'!$AI$16:$AI$62,0),4))</f>
        <v>⑬</v>
      </c>
      <c r="D35" s="283">
        <f>IF($A35="","",INDEX('編成'!$M$16:$AI$62,MATCH($B35,'編成'!$AI$16:$AI$62,0),5))</f>
        <v>41930</v>
      </c>
      <c r="E35" s="284" t="str">
        <f>IF($A35="","",INDEX('編成'!$M$16:$AI$62,MATCH($B35,'編成'!$AI$16:$AI$62,0),7))</f>
        <v>土</v>
      </c>
      <c r="F35" s="284" t="str">
        <f>IF($A35="","",INDEX('編成'!$M$16:$AI$62,MATCH($B35,'編成'!$AI$16:$AI$62,0),8))</f>
        <v>松任中Ｇ</v>
      </c>
      <c r="G35" s="285">
        <f>IF($A35="","",INDEX('編成'!$M$16:$AI$62,MATCH($B35,'編成'!$AI$16:$AI$62,0),10))</f>
        <v>0</v>
      </c>
      <c r="H35" s="286" t="str">
        <f>IF($A35="","",INDEX('編成'!$M$16:$AI$62,MATCH($B35,'編成'!$AI$16:$AI$62,0),12))</f>
        <v>FC.SOUTHERN</v>
      </c>
      <c r="I35" s="277"/>
      <c r="J35" s="287" t="s">
        <v>164</v>
      </c>
      <c r="K35" s="277"/>
      <c r="L35" s="288" t="s">
        <v>159</v>
      </c>
      <c r="M35" s="277"/>
      <c r="N35" s="287" t="s">
        <v>165</v>
      </c>
      <c r="O35" s="277"/>
      <c r="P35" s="289" t="str">
        <f>IF($A35="","",INDEX('編成'!$M$16:$AI$62,MATCH($B35,'編成'!$AI$16:$AI$62,0),15))</f>
        <v>根上中学校</v>
      </c>
      <c r="Q35" s="290">
        <f>IF($A35="","",INDEX('編成'!$M$16:$AI$62,MATCH($B35,'編成'!$AI$16:$AI$62,0),18))</f>
        <v>0</v>
      </c>
    </row>
    <row r="36" spans="1:17" ht="15" customHeight="1">
      <c r="A36" s="178">
        <f>IF(MAX('編成'!$AI$16:$AI$62)&lt;'記入'!$B36,"",INDEX('編成'!$M$16:$AI$62,MATCH('記入'!$B36,'編成'!$AI$16:$AI$62,0),2))</f>
        <v>132</v>
      </c>
      <c r="B36" s="248">
        <v>30</v>
      </c>
      <c r="C36" s="356" t="str">
        <f>IF(A36="","",INDEX('編成'!$M$16:$AI$62,MATCH($B36,'編成'!$AI$16:$AI$62,0),4))</f>
        <v>⑬</v>
      </c>
      <c r="D36" s="357">
        <f>IF($A36="","",INDEX('編成'!$M$16:$AI$62,MATCH($B36,'編成'!$AI$16:$AI$62,0),5))</f>
        <v>41938</v>
      </c>
      <c r="E36" s="358" t="str">
        <f>IF($A36="","",INDEX('編成'!$M$16:$AI$62,MATCH($B36,'編成'!$AI$16:$AI$62,0),7))</f>
        <v>日</v>
      </c>
      <c r="F36" s="358" t="str">
        <f>IF($A36="","",INDEX('編成'!$M$16:$AI$62,MATCH($B36,'編成'!$AI$16:$AI$62,0),8))</f>
        <v>松任公園Ｇ</v>
      </c>
      <c r="G36" s="359">
        <f>IF($A36="","",INDEX('編成'!$M$16:$AI$62,MATCH($B36,'編成'!$AI$16:$AI$62,0),10))</f>
        <v>0</v>
      </c>
      <c r="H36" s="360" t="str">
        <f>IF($A36="","",INDEX('編成'!$M$16:$AI$62,MATCH($B36,'編成'!$AI$16:$AI$62,0),12))</f>
        <v>松任中学校</v>
      </c>
      <c r="I36" s="279"/>
      <c r="J36" s="280" t="s">
        <v>164</v>
      </c>
      <c r="K36" s="279"/>
      <c r="L36" s="281" t="s">
        <v>159</v>
      </c>
      <c r="M36" s="279"/>
      <c r="N36" s="280" t="s">
        <v>165</v>
      </c>
      <c r="O36" s="279"/>
      <c r="P36" s="361" t="str">
        <f>IF($A36="","",INDEX('編成'!$M$16:$AI$62,MATCH($B36,'編成'!$AI$16:$AI$62,0),15))</f>
        <v>河北台ＳＣ</v>
      </c>
      <c r="Q36" s="362">
        <f>IF($A36="","",INDEX('編成'!$M$16:$AI$62,MATCH($B36,'編成'!$AI$16:$AI$62,0),18))</f>
        <v>0</v>
      </c>
    </row>
    <row r="37" spans="1:17" ht="15" customHeight="1">
      <c r="A37" s="178">
        <f>IF(MAX('編成'!$AI$16:$AI$62)&lt;'記入'!$B37,"",INDEX('編成'!$M$16:$AI$62,MATCH('記入'!$B37,'編成'!$AI$16:$AI$62,0),2))</f>
      </c>
      <c r="B37">
        <v>31</v>
      </c>
      <c r="C37" s="282">
        <f>IF(A37="","",INDEX('編成'!$M$16:$AI$62,MATCH($B37,'編成'!$AI$16:$AI$62,0),4))</f>
      </c>
      <c r="D37" s="283">
        <f>IF($A37="","",INDEX('編成'!$M$16:$AI$62,MATCH($B37,'編成'!$AI$16:$AI$62,0),5))</f>
      </c>
      <c r="E37" s="284">
        <f>IF($A37="","",INDEX('編成'!$M$16:$AI$62,MATCH($B37,'編成'!$AI$16:$AI$62,0),7))</f>
      </c>
      <c r="F37" s="284">
        <f>IF($A37="","",INDEX('編成'!$M$16:$AI$62,MATCH($B37,'編成'!$AI$16:$AI$62,0),8))</f>
      </c>
      <c r="G37" s="285">
        <f>IF($A37="","",INDEX('編成'!$M$16:$AI$62,MATCH($B37,'編成'!$AI$16:$AI$62,0),10))</f>
      </c>
      <c r="H37" s="286">
        <f>IF($A37="","",INDEX('編成'!$M$16:$AI$62,MATCH($B37,'編成'!$AI$16:$AI$62,0),12))</f>
      </c>
      <c r="I37" s="277"/>
      <c r="J37" s="287" t="s">
        <v>164</v>
      </c>
      <c r="K37" s="277"/>
      <c r="L37" s="288" t="s">
        <v>159</v>
      </c>
      <c r="M37" s="277"/>
      <c r="N37" s="287" t="s">
        <v>165</v>
      </c>
      <c r="O37" s="277"/>
      <c r="P37" s="289">
        <f>IF($A37="","",INDEX('編成'!$M$16:$AI$62,MATCH($B37,'編成'!$AI$16:$AI$62,0),15))</f>
      </c>
      <c r="Q37" s="290">
        <f>IF($A37="","",INDEX('編成'!$M$16:$AI$62,MATCH($B37,'編成'!$AI$16:$AI$62,0),18))</f>
      </c>
    </row>
    <row r="38" spans="1:17" ht="15" customHeight="1">
      <c r="A38" s="178">
        <f>IF(MAX('編成'!$AI$16:$AI$62)&lt;'記入'!$B38,"",INDEX('編成'!$M$16:$AI$62,MATCH('記入'!$B38,'編成'!$AI$16:$AI$62,0),2))</f>
      </c>
      <c r="B38">
        <v>32</v>
      </c>
      <c r="C38" s="267">
        <f>IF(A38="","",INDEX('編成'!$M$16:$AI$62,MATCH($B38,'編成'!$AI$16:$AI$62,0),4))</f>
      </c>
      <c r="D38" s="268">
        <f>IF($A38="","",INDEX('編成'!$M$16:$AI$62,MATCH($B38,'編成'!$AI$16:$AI$62,0),5))</f>
      </c>
      <c r="E38" s="269">
        <f>IF($A38="","",INDEX('編成'!$M$16:$AI$62,MATCH($B38,'編成'!$AI$16:$AI$62,0),7))</f>
      </c>
      <c r="F38" s="269">
        <f>IF($A38="","",INDEX('編成'!$M$16:$AI$62,MATCH($B38,'編成'!$AI$16:$AI$62,0),8))</f>
      </c>
      <c r="G38" s="270">
        <f>IF($A38="","",INDEX('編成'!$M$16:$AI$62,MATCH($B38,'編成'!$AI$16:$AI$62,0),10))</f>
      </c>
      <c r="H38" s="271">
        <f>IF($A38="","",INDEX('編成'!$M$16:$AI$62,MATCH($B38,'編成'!$AI$16:$AI$62,0),12))</f>
      </c>
      <c r="I38" s="276"/>
      <c r="J38" s="272" t="s">
        <v>164</v>
      </c>
      <c r="K38" s="276"/>
      <c r="L38" s="273" t="s">
        <v>159</v>
      </c>
      <c r="M38" s="276"/>
      <c r="N38" s="272" t="s">
        <v>165</v>
      </c>
      <c r="O38" s="276"/>
      <c r="P38" s="274">
        <f>IF($A38="","",INDEX('編成'!$M$16:$AI$62,MATCH($B38,'編成'!$AI$16:$AI$62,0),15))</f>
      </c>
      <c r="Q38" s="275">
        <f>IF($A38="","",INDEX('編成'!$M$16:$AI$62,MATCH($B38,'編成'!$AI$16:$AI$62,0),18))</f>
      </c>
    </row>
    <row r="39" spans="1:17" ht="15" customHeight="1">
      <c r="A39" s="178">
        <f>IF(MAX('編成'!$AI$16:$AI$62)&lt;'記入'!$B39,"",INDEX('編成'!$M$16:$AI$62,MATCH('記入'!$B39,'編成'!$AI$16:$AI$62,0),2))</f>
      </c>
      <c r="B39">
        <v>33</v>
      </c>
      <c r="C39" s="267">
        <f>IF(A39="","",INDEX('編成'!$M$16:$AI$62,MATCH($B39,'編成'!$AI$16:$AI$62,0),4))</f>
      </c>
      <c r="D39" s="268">
        <f>IF($A39="","",INDEX('編成'!$M$16:$AI$62,MATCH($B39,'編成'!$AI$16:$AI$62,0),5))</f>
      </c>
      <c r="E39" s="269">
        <f>IF($A39="","",INDEX('編成'!$M$16:$AI$62,MATCH($B39,'編成'!$AI$16:$AI$62,0),7))</f>
      </c>
      <c r="F39" s="269">
        <f>IF($A39="","",INDEX('編成'!$M$16:$AI$62,MATCH($B39,'編成'!$AI$16:$AI$62,0),8))</f>
      </c>
      <c r="G39" s="270">
        <f>IF($A39="","",INDEX('編成'!$M$16:$AI$62,MATCH($B39,'編成'!$AI$16:$AI$62,0),10))</f>
      </c>
      <c r="H39" s="271">
        <f>IF($A39="","",INDEX('編成'!$M$16:$AI$62,MATCH($B39,'編成'!$AI$16:$AI$62,0),12))</f>
      </c>
      <c r="I39" s="276"/>
      <c r="J39" s="272" t="s">
        <v>164</v>
      </c>
      <c r="K39" s="276"/>
      <c r="L39" s="273" t="s">
        <v>159</v>
      </c>
      <c r="M39" s="276"/>
      <c r="N39" s="272" t="s">
        <v>165</v>
      </c>
      <c r="O39" s="276"/>
      <c r="P39" s="274">
        <f>IF($A39="","",INDEX('編成'!$M$16:$AI$62,MATCH($B39,'編成'!$AI$16:$AI$62,0),15))</f>
      </c>
      <c r="Q39" s="275">
        <f>IF($A39="","",INDEX('編成'!$M$16:$AI$62,MATCH($B39,'編成'!$AI$16:$AI$62,0),18))</f>
      </c>
    </row>
    <row r="40" spans="1:17" ht="15" customHeight="1">
      <c r="A40" s="178">
        <f>IF(MAX('編成'!$AI$16:$AI$62)&lt;'記入'!$B40,"",INDEX('編成'!$M$16:$AI$62,MATCH('記入'!$B40,'編成'!$AI$16:$AI$62,0),2))</f>
      </c>
      <c r="B40">
        <v>34</v>
      </c>
      <c r="C40" s="267">
        <f>IF(A40="","",INDEX('編成'!$M$16:$AI$62,MATCH($B40,'編成'!$AI$16:$AI$62,0),4))</f>
      </c>
      <c r="D40" s="268">
        <f>IF($A40="","",INDEX('編成'!$M$16:$AI$62,MATCH($B40,'編成'!$AI$16:$AI$62,0),5))</f>
      </c>
      <c r="E40" s="269">
        <f>IF($A40="","",INDEX('編成'!$M$16:$AI$62,MATCH($B40,'編成'!$AI$16:$AI$62,0),7))</f>
      </c>
      <c r="F40" s="269">
        <f>IF($A40="","",INDEX('編成'!$M$16:$AI$62,MATCH($B40,'編成'!$AI$16:$AI$62,0),8))</f>
      </c>
      <c r="G40" s="270">
        <f>IF($A40="","",INDEX('編成'!$M$16:$AI$62,MATCH($B40,'編成'!$AI$16:$AI$62,0),10))</f>
      </c>
      <c r="H40" s="271">
        <f>IF($A40="","",INDEX('編成'!$M$16:$AI$62,MATCH($B40,'編成'!$AI$16:$AI$62,0),12))</f>
      </c>
      <c r="I40" s="276"/>
      <c r="J40" s="272" t="s">
        <v>164</v>
      </c>
      <c r="K40" s="276"/>
      <c r="L40" s="273" t="s">
        <v>159</v>
      </c>
      <c r="M40" s="276"/>
      <c r="N40" s="272" t="s">
        <v>165</v>
      </c>
      <c r="O40" s="276"/>
      <c r="P40" s="274">
        <f>IF($A40="","",INDEX('編成'!$M$16:$AI$62,MATCH($B40,'編成'!$AI$16:$AI$62,0),15))</f>
      </c>
      <c r="Q40" s="275">
        <f>IF($A40="","",INDEX('編成'!$M$16:$AI$62,MATCH($B40,'編成'!$AI$16:$AI$62,0),18))</f>
      </c>
    </row>
    <row r="41" spans="1:17" ht="15" customHeight="1">
      <c r="A41" s="178">
        <f>IF(MAX('編成'!$AI$16:$AI$62)&lt;'記入'!$B41,"",INDEX('編成'!$M$16:$AI$62,MATCH('記入'!$B41,'編成'!$AI$16:$AI$62,0),2))</f>
      </c>
      <c r="B41">
        <v>35</v>
      </c>
      <c r="C41" s="267">
        <f>IF(A41="","",INDEX('編成'!$M$16:$AI$62,MATCH($B41,'編成'!$AI$16:$AI$62,0),4))</f>
      </c>
      <c r="D41" s="268">
        <f>IF($A41="","",INDEX('編成'!$M$16:$AI$62,MATCH($B41,'編成'!$AI$16:$AI$62,0),5))</f>
      </c>
      <c r="E41" s="269">
        <f>IF($A41="","",INDEX('編成'!$M$16:$AI$62,MATCH($B41,'編成'!$AI$16:$AI$62,0),7))</f>
      </c>
      <c r="F41" s="269">
        <f>IF($A41="","",INDEX('編成'!$M$16:$AI$62,MATCH($B41,'編成'!$AI$16:$AI$62,0),8))</f>
      </c>
      <c r="G41" s="270">
        <f>IF($A41="","",INDEX('編成'!$M$16:$AI$62,MATCH($B41,'編成'!$AI$16:$AI$62,0),10))</f>
      </c>
      <c r="H41" s="271">
        <f>IF($A41="","",INDEX('編成'!$M$16:$AI$62,MATCH($B41,'編成'!$AI$16:$AI$62,0),12))</f>
      </c>
      <c r="I41" s="276"/>
      <c r="J41" s="272" t="s">
        <v>164</v>
      </c>
      <c r="K41" s="276"/>
      <c r="L41" s="273" t="s">
        <v>159</v>
      </c>
      <c r="M41" s="276"/>
      <c r="N41" s="272" t="s">
        <v>165</v>
      </c>
      <c r="O41" s="276"/>
      <c r="P41" s="274">
        <f>IF($A41="","",INDEX('編成'!$M$16:$AI$62,MATCH($B41,'編成'!$AI$16:$AI$62,0),15))</f>
      </c>
      <c r="Q41" s="275">
        <f>IF($A41="","",INDEX('編成'!$M$16:$AI$62,MATCH($B41,'編成'!$AI$16:$AI$62,0),18))</f>
      </c>
    </row>
    <row r="42" spans="1:17" ht="15" customHeight="1">
      <c r="A42" s="178">
        <f>IF(MAX('編成'!$AI$16:$AI$62)&lt;'記入'!$B42,"",INDEX('編成'!$M$16:$AI$62,MATCH('記入'!$B42,'編成'!$AI$16:$AI$62,0),2))</f>
      </c>
      <c r="B42">
        <v>36</v>
      </c>
      <c r="C42" s="267">
        <f>IF(A42="","",INDEX('編成'!$M$16:$AI$62,MATCH($B42,'編成'!$AI$16:$AI$62,0),4))</f>
      </c>
      <c r="D42" s="268">
        <f>IF($A42="","",INDEX('編成'!$M$16:$AI$62,MATCH($B42,'編成'!$AI$16:$AI$62,0),5))</f>
      </c>
      <c r="E42" s="269">
        <f>IF($A42="","",INDEX('編成'!$M$16:$AI$62,MATCH($B42,'編成'!$AI$16:$AI$62,0),7))</f>
      </c>
      <c r="F42" s="269">
        <f>IF($A42="","",INDEX('編成'!$M$16:$AI$62,MATCH($B42,'編成'!$AI$16:$AI$62,0),8))</f>
      </c>
      <c r="G42" s="270">
        <f>IF($A42="","",INDEX('編成'!$M$16:$AI$62,MATCH($B42,'編成'!$AI$16:$AI$62,0),10))</f>
      </c>
      <c r="H42" s="271">
        <f>IF($A42="","",INDEX('編成'!$M$16:$AI$62,MATCH($B42,'編成'!$AI$16:$AI$62,0),12))</f>
      </c>
      <c r="I42" s="276"/>
      <c r="J42" s="272" t="s">
        <v>164</v>
      </c>
      <c r="K42" s="276"/>
      <c r="L42" s="273" t="s">
        <v>159</v>
      </c>
      <c r="M42" s="276"/>
      <c r="N42" s="272" t="s">
        <v>165</v>
      </c>
      <c r="O42" s="276"/>
      <c r="P42" s="274">
        <f>IF($A42="","",INDEX('編成'!$M$16:$AI$62,MATCH($B42,'編成'!$AI$16:$AI$62,0),15))</f>
      </c>
      <c r="Q42" s="275">
        <f>IF($A42="","",INDEX('編成'!$M$16:$AI$62,MATCH($B42,'編成'!$AI$16:$AI$62,0),18))</f>
      </c>
    </row>
    <row r="43" spans="1:17" ht="15" customHeight="1">
      <c r="A43" s="178">
        <f>IF(MAX('編成'!$AI$16:$AI$62)&lt;'記入'!$B43,"",INDEX('編成'!$M$16:$AI$62,MATCH('記入'!$B43,'編成'!$AI$16:$AI$62,0),2))</f>
      </c>
      <c r="B43">
        <v>37</v>
      </c>
      <c r="C43" s="267">
        <f>IF(A43="","",INDEX('編成'!$M$16:$AI$62,MATCH($B43,'編成'!$AI$16:$AI$62,0),4))</f>
      </c>
      <c r="D43" s="268">
        <f>IF($A43="","",INDEX('編成'!$M$16:$AI$62,MATCH($B43,'編成'!$AI$16:$AI$62,0),5))</f>
      </c>
      <c r="E43" s="269">
        <f>IF($A43="","",INDEX('編成'!$M$16:$AI$62,MATCH($B43,'編成'!$AI$16:$AI$62,0),7))</f>
      </c>
      <c r="F43" s="269">
        <f>IF($A43="","",INDEX('編成'!$M$16:$AI$62,MATCH($B43,'編成'!$AI$16:$AI$62,0),8))</f>
      </c>
      <c r="G43" s="270">
        <f>IF($A43="","",INDEX('編成'!$M$16:$AI$62,MATCH($B43,'編成'!$AI$16:$AI$62,0),10))</f>
      </c>
      <c r="H43" s="271">
        <f>IF($A43="","",INDEX('編成'!$M$16:$AI$62,MATCH($B43,'編成'!$AI$16:$AI$62,0),12))</f>
      </c>
      <c r="I43" s="276"/>
      <c r="J43" s="272" t="s">
        <v>164</v>
      </c>
      <c r="K43" s="276"/>
      <c r="L43" s="273" t="s">
        <v>159</v>
      </c>
      <c r="M43" s="276"/>
      <c r="N43" s="272" t="s">
        <v>165</v>
      </c>
      <c r="O43" s="276"/>
      <c r="P43" s="274">
        <f>IF($A43="","",INDEX('編成'!$M$16:$AI$62,MATCH($B43,'編成'!$AI$16:$AI$62,0),15))</f>
      </c>
      <c r="Q43" s="275">
        <f>IF($A43="","",INDEX('編成'!$M$16:$AI$62,MATCH($B43,'編成'!$AI$16:$AI$62,0),18))</f>
      </c>
    </row>
    <row r="44" spans="1:17" ht="15" customHeight="1">
      <c r="A44" s="178">
        <f>IF(MAX('編成'!$AI$16:$AI$62)&lt;'記入'!$B44,"",INDEX('編成'!$M$16:$AI$62,MATCH('記入'!$B44,'編成'!$AI$16:$AI$62,0),2))</f>
      </c>
      <c r="B44">
        <v>38</v>
      </c>
      <c r="C44" s="267">
        <f>IF(A44="","",INDEX('編成'!$M$16:$AI$62,MATCH($B44,'編成'!$AI$16:$AI$62,0),4))</f>
      </c>
      <c r="D44" s="268">
        <f>IF($A44="","",INDEX('編成'!$M$16:$AI$62,MATCH($B44,'編成'!$AI$16:$AI$62,0),5))</f>
      </c>
      <c r="E44" s="269">
        <f>IF($A44="","",INDEX('編成'!$M$16:$AI$62,MATCH($B44,'編成'!$AI$16:$AI$62,0),7))</f>
      </c>
      <c r="F44" s="269">
        <f>IF($A44="","",INDEX('編成'!$M$16:$AI$62,MATCH($B44,'編成'!$AI$16:$AI$62,0),8))</f>
      </c>
      <c r="G44" s="270">
        <f>IF($A44="","",INDEX('編成'!$M$16:$AI$62,MATCH($B44,'編成'!$AI$16:$AI$62,0),10))</f>
      </c>
      <c r="H44" s="271">
        <f>IF($A44="","",INDEX('編成'!$M$16:$AI$62,MATCH($B44,'編成'!$AI$16:$AI$62,0),12))</f>
      </c>
      <c r="I44" s="276"/>
      <c r="J44" s="272" t="s">
        <v>164</v>
      </c>
      <c r="K44" s="276"/>
      <c r="L44" s="273" t="s">
        <v>159</v>
      </c>
      <c r="M44" s="276"/>
      <c r="N44" s="272" t="s">
        <v>165</v>
      </c>
      <c r="O44" s="276"/>
      <c r="P44" s="274">
        <f>IF($A44="","",INDEX('編成'!$M$16:$AI$62,MATCH($B44,'編成'!$AI$16:$AI$62,0),15))</f>
      </c>
      <c r="Q44" s="275">
        <f>IF($A44="","",INDEX('編成'!$M$16:$AI$62,MATCH($B44,'編成'!$AI$16:$AI$62,0),18))</f>
      </c>
    </row>
    <row r="45" spans="1:17" ht="15" customHeight="1">
      <c r="A45" s="178">
        <f>IF(MAX('編成'!$AI$16:$AI$62)&lt;'記入'!$B45,"",INDEX('編成'!$M$16:$AI$62,MATCH('記入'!$B45,'編成'!$AI$16:$AI$62,0),2))</f>
      </c>
      <c r="B45">
        <v>39</v>
      </c>
      <c r="C45" s="267">
        <f>IF(A45="","",INDEX('編成'!$M$16:$AI$62,MATCH($B45,'編成'!$AI$16:$AI$62,0),4))</f>
      </c>
      <c r="D45" s="268">
        <f>IF($A45="","",INDEX('編成'!$M$16:$AI$62,MATCH($B45,'編成'!$AI$16:$AI$62,0),5))</f>
      </c>
      <c r="E45" s="269">
        <f>IF($A45="","",INDEX('編成'!$M$16:$AI$62,MATCH($B45,'編成'!$AI$16:$AI$62,0),7))</f>
      </c>
      <c r="F45" s="269">
        <f>IF($A45="","",INDEX('編成'!$M$16:$AI$62,MATCH($B45,'編成'!$AI$16:$AI$62,0),8))</f>
      </c>
      <c r="G45" s="270">
        <f>IF($A45="","",INDEX('編成'!$M$16:$AI$62,MATCH($B45,'編成'!$AI$16:$AI$62,0),10))</f>
      </c>
      <c r="H45" s="271">
        <f>IF($A45="","",INDEX('編成'!$M$16:$AI$62,MATCH($B45,'編成'!$AI$16:$AI$62,0),12))</f>
      </c>
      <c r="I45" s="276"/>
      <c r="J45" s="272" t="s">
        <v>164</v>
      </c>
      <c r="K45" s="276"/>
      <c r="L45" s="273" t="s">
        <v>159</v>
      </c>
      <c r="M45" s="276"/>
      <c r="N45" s="272" t="s">
        <v>165</v>
      </c>
      <c r="O45" s="276"/>
      <c r="P45" s="274">
        <f>IF($A45="","",INDEX('編成'!$M$16:$AI$62,MATCH($B45,'編成'!$AI$16:$AI$62,0),15))</f>
      </c>
      <c r="Q45" s="275">
        <f>IF($A45="","",INDEX('編成'!$M$16:$AI$62,MATCH($B45,'編成'!$AI$16:$AI$62,0),18))</f>
      </c>
    </row>
    <row r="46" spans="1:17" ht="15" customHeight="1">
      <c r="A46" s="178">
        <f>IF(MAX('編成'!$AI$16:$AI$62)&lt;'記入'!$B46,"",INDEX('編成'!$M$16:$AI$62,MATCH('記入'!$B46,'編成'!$AI$16:$AI$62,0),2))</f>
      </c>
      <c r="B46">
        <v>40</v>
      </c>
      <c r="C46" s="267">
        <f>IF(A46="","",INDEX('編成'!$M$16:$AI$62,MATCH($B46,'編成'!$AI$16:$AI$62,0),4))</f>
      </c>
      <c r="D46" s="268">
        <f>IF($A46="","",INDEX('編成'!$M$16:$AI$62,MATCH($B46,'編成'!$AI$16:$AI$62,0),5))</f>
      </c>
      <c r="E46" s="269">
        <f>IF($A46="","",INDEX('編成'!$M$16:$AI$62,MATCH($B46,'編成'!$AI$16:$AI$62,0),7))</f>
      </c>
      <c r="F46" s="269">
        <f>IF($A46="","",INDEX('編成'!$M$16:$AI$62,MATCH($B46,'編成'!$AI$16:$AI$62,0),8))</f>
      </c>
      <c r="G46" s="270">
        <f>IF($A46="","",INDEX('編成'!$M$16:$AI$62,MATCH($B46,'編成'!$AI$16:$AI$62,0),10))</f>
      </c>
      <c r="H46" s="271">
        <f>IF($A46="","",INDEX('編成'!$M$16:$AI$62,MATCH($B46,'編成'!$AI$16:$AI$62,0),12))</f>
      </c>
      <c r="I46" s="276"/>
      <c r="J46" s="272" t="s">
        <v>164</v>
      </c>
      <c r="K46" s="276"/>
      <c r="L46" s="273" t="s">
        <v>159</v>
      </c>
      <c r="M46" s="276"/>
      <c r="N46" s="272" t="s">
        <v>165</v>
      </c>
      <c r="O46" s="276"/>
      <c r="P46" s="274">
        <f>IF($A46="","",INDEX('編成'!$M$16:$AI$62,MATCH($B46,'編成'!$AI$16:$AI$62,0),15))</f>
      </c>
      <c r="Q46" s="275">
        <f>IF($A46="","",INDEX('編成'!$M$16:$AI$62,MATCH($B46,'編成'!$AI$16:$AI$62,0),18))</f>
      </c>
    </row>
    <row r="47" spans="1:17" ht="15" customHeight="1">
      <c r="A47" s="178">
        <f>IF(MAX('編成'!$AI$16:$AI$62)&lt;'記入'!$B47,"",INDEX('編成'!$M$16:$AI$62,MATCH('記入'!$B47,'編成'!$AI$16:$AI$62,0),2))</f>
      </c>
      <c r="B47">
        <v>41</v>
      </c>
      <c r="C47" s="267">
        <f>IF(A47="","",INDEX('編成'!$M$16:$AI$62,MATCH($B47,'編成'!$AI$16:$AI$62,0),4))</f>
      </c>
      <c r="D47" s="268">
        <f>IF($A47="","",INDEX('編成'!$M$16:$AI$62,MATCH($B47,'編成'!$AI$16:$AI$62,0),5))</f>
      </c>
      <c r="E47" s="269">
        <f>IF($A47="","",INDEX('編成'!$M$16:$AI$62,MATCH($B47,'編成'!$AI$16:$AI$62,0),7))</f>
      </c>
      <c r="F47" s="269">
        <f>IF($A47="","",INDEX('編成'!$M$16:$AI$62,MATCH($B47,'編成'!$AI$16:$AI$62,0),8))</f>
      </c>
      <c r="G47" s="270">
        <f>IF($A47="","",INDEX('編成'!$M$16:$AI$62,MATCH($B47,'編成'!$AI$16:$AI$62,0),10))</f>
      </c>
      <c r="H47" s="271">
        <f>IF($A47="","",INDEX('編成'!$M$16:$AI$62,MATCH($B47,'編成'!$AI$16:$AI$62,0),12))</f>
      </c>
      <c r="I47" s="276"/>
      <c r="J47" s="272" t="s">
        <v>164</v>
      </c>
      <c r="K47" s="276"/>
      <c r="L47" s="273" t="s">
        <v>159</v>
      </c>
      <c r="M47" s="276"/>
      <c r="N47" s="272" t="s">
        <v>165</v>
      </c>
      <c r="O47" s="276"/>
      <c r="P47" s="274">
        <f>IF($A47="","",INDEX('編成'!$M$16:$AI$62,MATCH($B47,'編成'!$AI$16:$AI$62,0),15))</f>
      </c>
      <c r="Q47" s="275">
        <f>IF($A47="","",INDEX('編成'!$M$16:$AI$62,MATCH($B47,'編成'!$AI$16:$AI$62,0),18))</f>
      </c>
    </row>
    <row r="48" spans="1:17" ht="15" customHeight="1">
      <c r="A48" s="178">
        <f>IF(MAX('編成'!$AI$16:$AI$62)&lt;'記入'!$B48,"",INDEX('編成'!$M$16:$AI$62,MATCH('記入'!$B48,'編成'!$AI$16:$AI$62,0),2))</f>
      </c>
      <c r="B48" s="248">
        <v>42</v>
      </c>
      <c r="C48" s="267">
        <f>IF(A48="","",INDEX('編成'!$M$16:$AI$62,MATCH($B48,'編成'!$AI$16:$AI$62,0),4))</f>
      </c>
      <c r="D48" s="268">
        <f>IF($A48="","",INDEX('編成'!$M$16:$AI$62,MATCH($B48,'編成'!$AI$16:$AI$62,0),5))</f>
      </c>
      <c r="E48" s="269">
        <f>IF($A48="","",INDEX('編成'!$M$16:$AI$62,MATCH($B48,'編成'!$AI$16:$AI$62,0),7))</f>
      </c>
      <c r="F48" s="269">
        <f>IF($A48="","",INDEX('編成'!$M$16:$AI$62,MATCH($B48,'編成'!$AI$16:$AI$62,0),8))</f>
      </c>
      <c r="G48" s="270">
        <f>IF($A48="","",INDEX('編成'!$M$16:$AI$62,MATCH($B48,'編成'!$AI$16:$AI$62,0),10))</f>
      </c>
      <c r="H48" s="271">
        <f>IF($A48="","",INDEX('編成'!$M$16:$AI$62,MATCH($B48,'編成'!$AI$16:$AI$62,0),12))</f>
      </c>
      <c r="I48" s="276"/>
      <c r="J48" s="272" t="s">
        <v>164</v>
      </c>
      <c r="K48" s="276"/>
      <c r="L48" s="273" t="s">
        <v>159</v>
      </c>
      <c r="M48" s="276"/>
      <c r="N48" s="272" t="s">
        <v>165</v>
      </c>
      <c r="O48" s="276"/>
      <c r="P48" s="274">
        <f>IF($A48="","",INDEX('編成'!$M$16:$AI$62,MATCH($B48,'編成'!$AI$16:$AI$62,0),15))</f>
      </c>
      <c r="Q48" s="275">
        <f>IF($A48="","",INDEX('編成'!$M$16:$AI$62,MATCH($B48,'編成'!$AI$16:$AI$62,0),18))</f>
      </c>
    </row>
    <row r="49" spans="1:17" ht="15" customHeight="1">
      <c r="A49" s="178">
        <f>IF(MAX('編成'!$AI$16:$AI$62)&lt;'記入'!$B49,"",INDEX('編成'!$M$16:$AI$62,MATCH('記入'!$B49,'編成'!$AI$16:$AI$62,0),2))</f>
      </c>
      <c r="B49">
        <v>43</v>
      </c>
      <c r="C49" s="267">
        <f>IF(A49="","",INDEX('編成'!$M$16:$AI$62,MATCH($B49,'編成'!$AI$16:$AI$62,0),4))</f>
      </c>
      <c r="D49" s="268">
        <f>IF($A49="","",INDEX('編成'!$M$16:$AI$62,MATCH($B49,'編成'!$AI$16:$AI$62,0),5))</f>
      </c>
      <c r="E49" s="269">
        <f>IF($A49="","",INDEX('編成'!$M$16:$AI$62,MATCH($B49,'編成'!$AI$16:$AI$62,0),7))</f>
      </c>
      <c r="F49" s="269">
        <f>IF($A49="","",INDEX('編成'!$M$16:$AI$62,MATCH($B49,'編成'!$AI$16:$AI$62,0),8))</f>
      </c>
      <c r="G49" s="270">
        <f>IF($A49="","",INDEX('編成'!$M$16:$AI$62,MATCH($B49,'編成'!$AI$16:$AI$62,0),10))</f>
      </c>
      <c r="H49" s="271">
        <f>IF($A49="","",INDEX('編成'!$M$16:$AI$62,MATCH($B49,'編成'!$AI$16:$AI$62,0),12))</f>
      </c>
      <c r="I49" s="276"/>
      <c r="J49" s="272" t="s">
        <v>164</v>
      </c>
      <c r="K49" s="276"/>
      <c r="L49" s="273" t="s">
        <v>159</v>
      </c>
      <c r="M49" s="276"/>
      <c r="N49" s="272" t="s">
        <v>165</v>
      </c>
      <c r="O49" s="276"/>
      <c r="P49" s="274">
        <f>IF($A49="","",INDEX('編成'!$M$16:$AI$62,MATCH($B49,'編成'!$AI$16:$AI$62,0),15))</f>
      </c>
      <c r="Q49" s="275">
        <f>IF($A49="","",INDEX('編成'!$M$16:$AI$62,MATCH($B49,'編成'!$AI$16:$AI$62,0),18))</f>
      </c>
    </row>
    <row r="50" spans="1:17" ht="15" customHeight="1">
      <c r="A50" s="178">
        <f>IF(MAX('編成'!$AI$16:$AI$62)&lt;'記入'!$B50,"",INDEX('編成'!$M$16:$AI$62,MATCH('記入'!$B50,'編成'!$AI$16:$AI$62,0),2))</f>
      </c>
      <c r="B50">
        <v>44</v>
      </c>
      <c r="C50" s="267">
        <f>IF(A50="","",INDEX('編成'!$M$16:$AI$62,MATCH($B50,'編成'!$AI$16:$AI$62,0),4))</f>
      </c>
      <c r="D50" s="268">
        <f>IF($A50="","",INDEX('編成'!$M$16:$AI$62,MATCH($B50,'編成'!$AI$16:$AI$62,0),5))</f>
      </c>
      <c r="E50" s="269">
        <f>IF($A50="","",INDEX('編成'!$M$16:$AI$62,MATCH($B50,'編成'!$AI$16:$AI$62,0),7))</f>
      </c>
      <c r="F50" s="269">
        <f>IF($A50="","",INDEX('編成'!$M$16:$AI$62,MATCH($B50,'編成'!$AI$16:$AI$62,0),8))</f>
      </c>
      <c r="G50" s="270">
        <f>IF($A50="","",INDEX('編成'!$M$16:$AI$62,MATCH($B50,'編成'!$AI$16:$AI$62,0),10))</f>
      </c>
      <c r="H50" s="271">
        <f>IF($A50="","",INDEX('編成'!$M$16:$AI$62,MATCH($B50,'編成'!$AI$16:$AI$62,0),12))</f>
      </c>
      <c r="I50" s="276"/>
      <c r="J50" s="272" t="s">
        <v>164</v>
      </c>
      <c r="K50" s="276"/>
      <c r="L50" s="273" t="s">
        <v>159</v>
      </c>
      <c r="M50" s="276"/>
      <c r="N50" s="272" t="s">
        <v>165</v>
      </c>
      <c r="O50" s="276"/>
      <c r="P50" s="274">
        <f>IF($A50="","",INDEX('編成'!$M$16:$AI$62,MATCH($B50,'編成'!$AI$16:$AI$62,0),15))</f>
      </c>
      <c r="Q50" s="275">
        <f>IF($A50="","",INDEX('編成'!$M$16:$AI$62,MATCH($B50,'編成'!$AI$16:$AI$62,0),18))</f>
      </c>
    </row>
    <row r="51" spans="1:17" ht="15" customHeight="1">
      <c r="A51" s="178">
        <f>IF(MAX('編成'!$AI$16:$AI$62)&lt;'記入'!$B51,"",INDEX('編成'!$M$16:$AI$62,MATCH('記入'!$B51,'編成'!$AI$16:$AI$62,0),2))</f>
      </c>
      <c r="B51">
        <v>45</v>
      </c>
      <c r="C51" s="267">
        <f>IF(A51="","",INDEX('編成'!$M$16:$AI$62,MATCH($B51,'編成'!$AI$16:$AI$62,0),4))</f>
      </c>
      <c r="D51" s="268">
        <f>IF($A51="","",INDEX('編成'!$M$16:$AI$62,MATCH($B51,'編成'!$AI$16:$AI$62,0),5))</f>
      </c>
      <c r="E51" s="269">
        <f>IF($A51="","",INDEX('編成'!$M$16:$AI$62,MATCH($B51,'編成'!$AI$16:$AI$62,0),7))</f>
      </c>
      <c r="F51" s="269">
        <f>IF($A51="","",INDEX('編成'!$M$16:$AI$62,MATCH($B51,'編成'!$AI$16:$AI$62,0),8))</f>
      </c>
      <c r="G51" s="270">
        <f>IF($A51="","",INDEX('編成'!$M$16:$AI$62,MATCH($B51,'編成'!$AI$16:$AI$62,0),10))</f>
      </c>
      <c r="H51" s="271">
        <f>IF($A51="","",INDEX('編成'!$M$16:$AI$62,MATCH($B51,'編成'!$AI$16:$AI$62,0),12))</f>
      </c>
      <c r="I51" s="276"/>
      <c r="J51" s="272" t="s">
        <v>164</v>
      </c>
      <c r="K51" s="276"/>
      <c r="L51" s="273" t="s">
        <v>159</v>
      </c>
      <c r="M51" s="276"/>
      <c r="N51" s="272" t="s">
        <v>165</v>
      </c>
      <c r="O51" s="276"/>
      <c r="P51" s="274">
        <f>IF($A51="","",INDEX('編成'!$M$16:$AI$62,MATCH($B51,'編成'!$AI$16:$AI$62,0),15))</f>
      </c>
      <c r="Q51" s="275">
        <f>IF($A51="","",INDEX('編成'!$M$16:$AI$62,MATCH($B51,'編成'!$AI$16:$AI$62,0),18))</f>
      </c>
    </row>
    <row r="52" spans="1:17" ht="15" customHeight="1">
      <c r="A52" s="178">
        <f>IF(MAX('編成'!$AI$16:$AI$62)&lt;'記入'!$B52,"",INDEX('編成'!$M$16:$AI$62,MATCH('記入'!$B52,'編成'!$AI$16:$AI$62,0),2))</f>
      </c>
      <c r="B52">
        <v>46</v>
      </c>
      <c r="C52" s="267">
        <f>IF(A52="","",INDEX('編成'!$M$16:$AI$62,MATCH($B52,'編成'!$AI$16:$AI$62,0),4))</f>
      </c>
      <c r="D52" s="268">
        <f>IF($A52="","",INDEX('編成'!$M$16:$AI$62,MATCH($B52,'編成'!$AI$16:$AI$62,0),5))</f>
      </c>
      <c r="E52" s="269">
        <f>IF($A52="","",INDEX('編成'!$M$16:$AI$62,MATCH($B52,'編成'!$AI$16:$AI$62,0),7))</f>
      </c>
      <c r="F52" s="269">
        <f>IF($A52="","",INDEX('編成'!$M$16:$AI$62,MATCH($B52,'編成'!$AI$16:$AI$62,0),8))</f>
      </c>
      <c r="G52" s="270">
        <f>IF($A52="","",INDEX('編成'!$M$16:$AI$62,MATCH($B52,'編成'!$AI$16:$AI$62,0),10))</f>
      </c>
      <c r="H52" s="271">
        <f>IF($A52="","",INDEX('編成'!$M$16:$AI$62,MATCH($B52,'編成'!$AI$16:$AI$62,0),12))</f>
      </c>
      <c r="I52" s="276"/>
      <c r="J52" s="272" t="s">
        <v>164</v>
      </c>
      <c r="K52" s="276"/>
      <c r="L52" s="273" t="s">
        <v>159</v>
      </c>
      <c r="M52" s="276"/>
      <c r="N52" s="272" t="s">
        <v>165</v>
      </c>
      <c r="O52" s="276"/>
      <c r="P52" s="274">
        <f>IF($A52="","",INDEX('編成'!$M$16:$AI$62,MATCH($B52,'編成'!$AI$16:$AI$62,0),15))</f>
      </c>
      <c r="Q52" s="275">
        <f>IF($A52="","",INDEX('編成'!$M$16:$AI$62,MATCH($B52,'編成'!$AI$16:$AI$62,0),18))</f>
      </c>
    </row>
    <row r="53" spans="1:17" ht="15" customHeight="1">
      <c r="A53" s="178">
        <f>IF(MAX('編成'!$AI$16:$AI$62)&lt;'記入'!$B53,"",INDEX('編成'!$M$16:$AI$62,MATCH('記入'!$B53,'編成'!$AI$16:$AI$62,0),2))</f>
      </c>
      <c r="B53">
        <v>47</v>
      </c>
      <c r="C53" s="267">
        <f>IF(A53="","",INDEX('編成'!$M$16:$AI$62,MATCH($B53,'編成'!$AI$16:$AI$62,0),4))</f>
      </c>
      <c r="D53" s="268">
        <f>IF($A53="","",INDEX('編成'!$M$16:$AI$62,MATCH($B53,'編成'!$AI$16:$AI$62,0),5))</f>
      </c>
      <c r="E53" s="269">
        <f>IF($A53="","",INDEX('編成'!$M$16:$AI$62,MATCH($B53,'編成'!$AI$16:$AI$62,0),7))</f>
      </c>
      <c r="F53" s="269">
        <f>IF($A53="","",INDEX('編成'!$M$16:$AI$62,MATCH($B53,'編成'!$AI$16:$AI$62,0),8))</f>
      </c>
      <c r="G53" s="270">
        <f>IF($A53="","",INDEX('編成'!$M$16:$AI$62,MATCH($B53,'編成'!$AI$16:$AI$62,0),10))</f>
      </c>
      <c r="H53" s="271">
        <f>IF($A53="","",INDEX('編成'!$M$16:$AI$62,MATCH($B53,'編成'!$AI$16:$AI$62,0),12))</f>
      </c>
      <c r="I53" s="276"/>
      <c r="J53" s="272" t="s">
        <v>164</v>
      </c>
      <c r="K53" s="276"/>
      <c r="L53" s="273" t="s">
        <v>159</v>
      </c>
      <c r="M53" s="276"/>
      <c r="N53" s="272" t="s">
        <v>165</v>
      </c>
      <c r="O53" s="276"/>
      <c r="P53" s="274">
        <f>IF($A53="","",INDEX('編成'!$M$16:$AI$62,MATCH($B53,'編成'!$AI$16:$AI$62,0),15))</f>
      </c>
      <c r="Q53" s="275">
        <f>IF($A53="","",INDEX('編成'!$M$16:$AI$62,MATCH($B53,'編成'!$AI$16:$AI$62,0),18))</f>
      </c>
    </row>
    <row r="54" spans="1:17" ht="15" customHeight="1">
      <c r="A54" s="178">
        <f>IF(MAX('編成'!$AI$16:$AI$62)&lt;'記入'!$B54,"",INDEX('編成'!$M$16:$AI$62,MATCH('記入'!$B54,'編成'!$AI$16:$AI$62,0),2))</f>
      </c>
      <c r="B54">
        <v>48</v>
      </c>
      <c r="C54" s="267">
        <f>IF(A54="","",INDEX('編成'!$M$16:$AI$62,MATCH($B54,'編成'!$AI$16:$AI$62,0),4))</f>
      </c>
      <c r="D54" s="268">
        <f>IF($A54="","",INDEX('編成'!$M$16:$AI$62,MATCH($B54,'編成'!$AI$16:$AI$62,0),5))</f>
      </c>
      <c r="E54" s="269">
        <f>IF($A54="","",INDEX('編成'!$M$16:$AI$62,MATCH($B54,'編成'!$AI$16:$AI$62,0),7))</f>
      </c>
      <c r="F54" s="269">
        <f>IF($A54="","",INDEX('編成'!$M$16:$AI$62,MATCH($B54,'編成'!$AI$16:$AI$62,0),8))</f>
      </c>
      <c r="G54" s="270">
        <f>IF($A54="","",INDEX('編成'!$M$16:$AI$62,MATCH($B54,'編成'!$AI$16:$AI$62,0),10))</f>
      </c>
      <c r="H54" s="271">
        <f>IF($A54="","",INDEX('編成'!$M$16:$AI$62,MATCH($B54,'編成'!$AI$16:$AI$62,0),12))</f>
      </c>
      <c r="I54" s="276"/>
      <c r="J54" s="272" t="s">
        <v>164</v>
      </c>
      <c r="K54" s="276"/>
      <c r="L54" s="273" t="s">
        <v>159</v>
      </c>
      <c r="M54" s="276"/>
      <c r="N54" s="272" t="s">
        <v>165</v>
      </c>
      <c r="O54" s="276"/>
      <c r="P54" s="274">
        <f>IF($A54="","",INDEX('編成'!$M$16:$AI$62,MATCH($B54,'編成'!$AI$16:$AI$62,0),15))</f>
      </c>
      <c r="Q54" s="275">
        <f>IF($A54="","",INDEX('編成'!$M$16:$AI$62,MATCH($B54,'編成'!$AI$16:$AI$62,0),18))</f>
      </c>
    </row>
    <row r="55" spans="1:17" ht="15" customHeight="1">
      <c r="A55" s="178">
        <f>IF(MAX('編成'!$AI$16:$AI$62)&lt;'記入'!$B55,"",INDEX('編成'!$M$16:$AI$62,MATCH('記入'!$B55,'編成'!$AI$16:$AI$62,0),2))</f>
      </c>
      <c r="B55">
        <v>49</v>
      </c>
      <c r="C55" s="267">
        <f>IF(A55="","",INDEX('編成'!$M$16:$AI$62,MATCH($B55,'編成'!$AI$16:$AI$62,0),4))</f>
      </c>
      <c r="D55" s="268">
        <f>IF($A55="","",INDEX('編成'!$M$16:$AI$62,MATCH($B55,'編成'!$AI$16:$AI$62,0),5))</f>
      </c>
      <c r="E55" s="269">
        <f>IF($A55="","",INDEX('編成'!$M$16:$AI$62,MATCH($B55,'編成'!$AI$16:$AI$62,0),7))</f>
      </c>
      <c r="F55" s="269">
        <f>IF($A55="","",INDEX('編成'!$M$16:$AI$62,MATCH($B55,'編成'!$AI$16:$AI$62,0),8))</f>
      </c>
      <c r="G55" s="270">
        <f>IF($A55="","",INDEX('編成'!$M$16:$AI$62,MATCH($B55,'編成'!$AI$16:$AI$62,0),10))</f>
      </c>
      <c r="H55" s="271">
        <f>IF($A55="","",INDEX('編成'!$M$16:$AI$62,MATCH($B55,'編成'!$AI$16:$AI$62,0),12))</f>
      </c>
      <c r="I55" s="276"/>
      <c r="J55" s="272" t="s">
        <v>164</v>
      </c>
      <c r="K55" s="276"/>
      <c r="L55" s="273" t="s">
        <v>159</v>
      </c>
      <c r="M55" s="276"/>
      <c r="N55" s="272" t="s">
        <v>165</v>
      </c>
      <c r="O55" s="276"/>
      <c r="P55" s="274">
        <f>IF($A55="","",INDEX('編成'!$M$16:$AI$62,MATCH($B55,'編成'!$AI$16:$AI$62,0),15))</f>
      </c>
      <c r="Q55" s="275">
        <f>IF($A55="","",INDEX('編成'!$M$16:$AI$62,MATCH($B55,'編成'!$AI$16:$AI$62,0),18))</f>
      </c>
    </row>
    <row r="56" spans="1:17" ht="15" customHeight="1">
      <c r="A56" s="178">
        <f>IF(MAX('編成'!$AI$16:$AI$62)&lt;'記入'!$B56,"",INDEX('編成'!$M$16:$AI$62,MATCH('記入'!$B56,'編成'!$AI$16:$AI$62,0),2))</f>
      </c>
      <c r="B56">
        <v>50</v>
      </c>
      <c r="C56" s="267">
        <f>IF(A56="","",INDEX('編成'!$M$16:$AI$62,MATCH($B56,'編成'!$AI$16:$AI$62,0),4))</f>
      </c>
      <c r="D56" s="268">
        <f>IF($A56="","",INDEX('編成'!$M$16:$AI$62,MATCH($B56,'編成'!$AI$16:$AI$62,0),5))</f>
      </c>
      <c r="E56" s="269">
        <f>IF($A56="","",INDEX('編成'!$M$16:$AI$62,MATCH($B56,'編成'!$AI$16:$AI$62,0),7))</f>
      </c>
      <c r="F56" s="269">
        <f>IF($A56="","",INDEX('編成'!$M$16:$AI$62,MATCH($B56,'編成'!$AI$16:$AI$62,0),8))</f>
      </c>
      <c r="G56" s="270">
        <f>IF($A56="","",INDEX('編成'!$M$16:$AI$62,MATCH($B56,'編成'!$AI$16:$AI$62,0),10))</f>
      </c>
      <c r="H56" s="271">
        <f>IF($A56="","",INDEX('編成'!$M$16:$AI$62,MATCH($B56,'編成'!$AI$16:$AI$62,0),12))</f>
      </c>
      <c r="I56" s="276"/>
      <c r="J56" s="272" t="s">
        <v>164</v>
      </c>
      <c r="K56" s="276"/>
      <c r="L56" s="273" t="s">
        <v>159</v>
      </c>
      <c r="M56" s="276"/>
      <c r="N56" s="272" t="s">
        <v>165</v>
      </c>
      <c r="O56" s="276"/>
      <c r="P56" s="274">
        <f>IF($A56="","",INDEX('編成'!$M$16:$AI$62,MATCH($B56,'編成'!$AI$16:$AI$62,0),15))</f>
      </c>
      <c r="Q56" s="275">
        <f>IF($A56="","",INDEX('編成'!$M$16:$AI$62,MATCH($B56,'編成'!$AI$16:$AI$62,0),18))</f>
      </c>
    </row>
    <row r="57" spans="1:17" ht="15" customHeight="1">
      <c r="A57" s="178">
        <f>IF(MAX('編成'!$AI$16:$AI$62)&lt;'記入'!$B57,"",INDEX('編成'!$M$16:$AI$62,MATCH('記入'!$B57,'編成'!$AI$16:$AI$62,0),2))</f>
      </c>
      <c r="B57">
        <v>51</v>
      </c>
      <c r="C57" s="267">
        <f>IF(A57="","",INDEX('編成'!$M$16:$AI$62,MATCH($B57,'編成'!$AI$16:$AI$62,0),4))</f>
      </c>
      <c r="D57" s="268">
        <f>IF($A57="","",INDEX('編成'!$M$16:$AI$62,MATCH($B57,'編成'!$AI$16:$AI$62,0),5))</f>
      </c>
      <c r="E57" s="269">
        <f>IF($A57="","",INDEX('編成'!$M$16:$AI$62,MATCH($B57,'編成'!$AI$16:$AI$62,0),7))</f>
      </c>
      <c r="F57" s="269">
        <f>IF($A57="","",INDEX('編成'!$M$16:$AI$62,MATCH($B57,'編成'!$AI$16:$AI$62,0),8))</f>
      </c>
      <c r="G57" s="270">
        <f>IF($A57="","",INDEX('編成'!$M$16:$AI$62,MATCH($B57,'編成'!$AI$16:$AI$62,0),10))</f>
      </c>
      <c r="H57" s="271">
        <f>IF($A57="","",INDEX('編成'!$M$16:$AI$62,MATCH($B57,'編成'!$AI$16:$AI$62,0),12))</f>
      </c>
      <c r="I57" s="276"/>
      <c r="J57" s="272" t="s">
        <v>164</v>
      </c>
      <c r="K57" s="276"/>
      <c r="L57" s="273" t="s">
        <v>159</v>
      </c>
      <c r="M57" s="276"/>
      <c r="N57" s="272" t="s">
        <v>165</v>
      </c>
      <c r="O57" s="276"/>
      <c r="P57" s="274">
        <f>IF($A57="","",INDEX('編成'!$M$16:$AI$62,MATCH($B57,'編成'!$AI$16:$AI$62,0),15))</f>
      </c>
      <c r="Q57" s="275">
        <f>IF($A57="","",INDEX('編成'!$M$16:$AI$62,MATCH($B57,'編成'!$AI$16:$AI$62,0),18))</f>
      </c>
    </row>
    <row r="58" spans="1:17" ht="15" customHeight="1">
      <c r="A58" s="178">
        <f>IF(MAX('編成'!$AI$16:$AI$62)&lt;'記入'!$B58,"",INDEX('編成'!$M$16:$AI$62,MATCH('記入'!$B58,'編成'!$AI$16:$AI$62,0),2))</f>
      </c>
      <c r="B58">
        <v>52</v>
      </c>
      <c r="C58" s="267">
        <f>IF(A58="","",INDEX('編成'!$M$16:$AI$62,MATCH($B58,'編成'!$AI$16:$AI$62,0),4))</f>
      </c>
      <c r="D58" s="268">
        <f>IF($A58="","",INDEX('編成'!$M$16:$AI$62,MATCH($B58,'編成'!$AI$16:$AI$62,0),5))</f>
      </c>
      <c r="E58" s="269">
        <f>IF($A58="","",INDEX('編成'!$M$16:$AI$62,MATCH($B58,'編成'!$AI$16:$AI$62,0),7))</f>
      </c>
      <c r="F58" s="269">
        <f>IF($A58="","",INDEX('編成'!$M$16:$AI$62,MATCH($B58,'編成'!$AI$16:$AI$62,0),8))</f>
      </c>
      <c r="G58" s="270">
        <f>IF($A58="","",INDEX('編成'!$M$16:$AI$62,MATCH($B58,'編成'!$AI$16:$AI$62,0),10))</f>
      </c>
      <c r="H58" s="271">
        <f>IF($A58="","",INDEX('編成'!$M$16:$AI$62,MATCH($B58,'編成'!$AI$16:$AI$62,0),12))</f>
      </c>
      <c r="I58" s="276"/>
      <c r="J58" s="272" t="s">
        <v>164</v>
      </c>
      <c r="K58" s="276"/>
      <c r="L58" s="273" t="s">
        <v>159</v>
      </c>
      <c r="M58" s="276"/>
      <c r="N58" s="272" t="s">
        <v>165</v>
      </c>
      <c r="O58" s="276"/>
      <c r="P58" s="274">
        <f>IF($A58="","",INDEX('編成'!$M$16:$AI$62,MATCH($B58,'編成'!$AI$16:$AI$62,0),15))</f>
      </c>
      <c r="Q58" s="275">
        <f>IF($A58="","",INDEX('編成'!$M$16:$AI$62,MATCH($B58,'編成'!$AI$16:$AI$62,0),18))</f>
      </c>
    </row>
    <row r="59" spans="1:17" ht="15" customHeight="1">
      <c r="A59" s="178">
        <f>IF(MAX('編成'!$AI$16:$AI$62)&lt;'記入'!$B59,"",INDEX('編成'!$M$16:$AI$62,MATCH('記入'!$B59,'編成'!$AI$16:$AI$62,0),2))</f>
      </c>
      <c r="B59">
        <v>53</v>
      </c>
      <c r="C59" s="267">
        <f>IF(A59="","",INDEX('編成'!$M$16:$AI$62,MATCH($B59,'編成'!$AI$16:$AI$62,0),4))</f>
      </c>
      <c r="D59" s="268">
        <f>IF($A59="","",INDEX('編成'!$M$16:$AI$62,MATCH($B59,'編成'!$AI$16:$AI$62,0),5))</f>
      </c>
      <c r="E59" s="269">
        <f>IF($A59="","",INDEX('編成'!$M$16:$AI$62,MATCH($B59,'編成'!$AI$16:$AI$62,0),7))</f>
      </c>
      <c r="F59" s="269">
        <f>IF($A59="","",INDEX('編成'!$M$16:$AI$62,MATCH($B59,'編成'!$AI$16:$AI$62,0),8))</f>
      </c>
      <c r="G59" s="270">
        <f>IF($A59="","",INDEX('編成'!$M$16:$AI$62,MATCH($B59,'編成'!$AI$16:$AI$62,0),10))</f>
      </c>
      <c r="H59" s="271">
        <f>IF($A59="","",INDEX('編成'!$M$16:$AI$62,MATCH($B59,'編成'!$AI$16:$AI$62,0),12))</f>
      </c>
      <c r="I59" s="276"/>
      <c r="J59" s="272" t="s">
        <v>164</v>
      </c>
      <c r="K59" s="276"/>
      <c r="L59" s="273" t="s">
        <v>159</v>
      </c>
      <c r="M59" s="276"/>
      <c r="N59" s="272" t="s">
        <v>165</v>
      </c>
      <c r="O59" s="276"/>
      <c r="P59" s="274">
        <f>IF($A59="","",INDEX('編成'!$M$16:$AI$62,MATCH($B59,'編成'!$AI$16:$AI$62,0),15))</f>
      </c>
      <c r="Q59" s="275">
        <f>IF($A59="","",INDEX('編成'!$M$16:$AI$62,MATCH($B59,'編成'!$AI$16:$AI$62,0),18))</f>
      </c>
    </row>
    <row r="60" spans="1:17" ht="15" customHeight="1">
      <c r="A60" s="178">
        <f>IF(MAX('編成'!$AI$16:$AI$62)&lt;'記入'!$B60,"",INDEX('編成'!$M$16:$AI$62,MATCH('記入'!$B60,'編成'!$AI$16:$AI$62,0),2))</f>
      </c>
      <c r="B60">
        <v>54</v>
      </c>
      <c r="C60" s="267">
        <f>IF(A60="","",INDEX('編成'!$M$16:$AI$62,MATCH($B60,'編成'!$AI$16:$AI$62,0),4))</f>
      </c>
      <c r="D60" s="268">
        <f>IF($A60="","",INDEX('編成'!$M$16:$AI$62,MATCH($B60,'編成'!$AI$16:$AI$62,0),5))</f>
      </c>
      <c r="E60" s="269">
        <f>IF($A60="","",INDEX('編成'!$M$16:$AI$62,MATCH($B60,'編成'!$AI$16:$AI$62,0),7))</f>
      </c>
      <c r="F60" s="269">
        <f>IF($A60="","",INDEX('編成'!$M$16:$AI$62,MATCH($B60,'編成'!$AI$16:$AI$62,0),8))</f>
      </c>
      <c r="G60" s="270">
        <f>IF($A60="","",INDEX('編成'!$M$16:$AI$62,MATCH($B60,'編成'!$AI$16:$AI$62,0),10))</f>
      </c>
      <c r="H60" s="271">
        <f>IF($A60="","",INDEX('編成'!$M$16:$AI$62,MATCH($B60,'編成'!$AI$16:$AI$62,0),12))</f>
      </c>
      <c r="I60" s="276"/>
      <c r="J60" s="272" t="s">
        <v>164</v>
      </c>
      <c r="K60" s="276"/>
      <c r="L60" s="273" t="s">
        <v>159</v>
      </c>
      <c r="M60" s="276"/>
      <c r="N60" s="272" t="s">
        <v>165</v>
      </c>
      <c r="O60" s="276"/>
      <c r="P60" s="274">
        <f>IF($A60="","",INDEX('編成'!$M$16:$AI$62,MATCH($B60,'編成'!$AI$16:$AI$62,0),15))</f>
      </c>
      <c r="Q60" s="275">
        <f>IF($A60="","",INDEX('編成'!$M$16:$AI$62,MATCH($B60,'編成'!$AI$16:$AI$62,0),18))</f>
      </c>
    </row>
    <row r="61" spans="1:17" ht="15" customHeight="1">
      <c r="A61" s="178">
        <f>IF(MAX('編成'!$AI$16:$AI$62)&lt;'記入'!$B61,"",INDEX('編成'!$M$16:$AI$62,MATCH('記入'!$B61,'編成'!$AI$16:$AI$62,0),2))</f>
      </c>
      <c r="B61">
        <v>55</v>
      </c>
      <c r="C61" s="267">
        <f>IF(A61="","",INDEX('編成'!$M$16:$AI$62,MATCH($B61,'編成'!$AI$16:$AI$62,0),4))</f>
      </c>
      <c r="D61" s="268">
        <f>IF($A61="","",INDEX('編成'!$M$16:$AI$62,MATCH($B61,'編成'!$AI$16:$AI$62,0),5))</f>
      </c>
      <c r="E61" s="269">
        <f>IF($A61="","",INDEX('編成'!$M$16:$AI$62,MATCH($B61,'編成'!$AI$16:$AI$62,0),7))</f>
      </c>
      <c r="F61" s="269">
        <f>IF($A61="","",INDEX('編成'!$M$16:$AI$62,MATCH($B61,'編成'!$AI$16:$AI$62,0),8))</f>
      </c>
      <c r="G61" s="270">
        <f>IF($A61="","",INDEX('編成'!$M$16:$AI$62,MATCH($B61,'編成'!$AI$16:$AI$62,0),10))</f>
      </c>
      <c r="H61" s="271">
        <f>IF($A61="","",INDEX('編成'!$M$16:$AI$62,MATCH($B61,'編成'!$AI$16:$AI$62,0),12))</f>
      </c>
      <c r="I61" s="276"/>
      <c r="J61" s="272" t="s">
        <v>164</v>
      </c>
      <c r="K61" s="276"/>
      <c r="L61" s="273" t="s">
        <v>159</v>
      </c>
      <c r="M61" s="276"/>
      <c r="N61" s="272" t="s">
        <v>165</v>
      </c>
      <c r="O61" s="276"/>
      <c r="P61" s="274">
        <f>IF($A61="","",INDEX('編成'!$M$16:$AI$62,MATCH($B61,'編成'!$AI$16:$AI$62,0),15))</f>
      </c>
      <c r="Q61" s="275">
        <f>IF($A61="","",INDEX('編成'!$M$16:$AI$62,MATCH($B61,'編成'!$AI$16:$AI$62,0),18))</f>
      </c>
    </row>
    <row r="62" spans="1:17" ht="15" customHeight="1">
      <c r="A62" s="178">
        <f>IF(MAX('編成'!$AI$16:$AI$62)&lt;'記入'!$B62,"",INDEX('編成'!$M$16:$AI$62,MATCH('記入'!$B62,'編成'!$AI$16:$AI$62,0),2))</f>
      </c>
      <c r="B62" s="248">
        <v>56</v>
      </c>
      <c r="C62" s="267">
        <f>IF(A62="","",INDEX('編成'!$M$16:$AI$62,MATCH($B62,'編成'!$AI$16:$AI$62,0),4))</f>
      </c>
      <c r="D62" s="268">
        <f>IF($A62="","",INDEX('編成'!$M$16:$AI$62,MATCH($B62,'編成'!$AI$16:$AI$62,0),5))</f>
      </c>
      <c r="E62" s="269">
        <f>IF($A62="","",INDEX('編成'!$M$16:$AI$62,MATCH($B62,'編成'!$AI$16:$AI$62,0),7))</f>
      </c>
      <c r="F62" s="269">
        <f>IF($A62="","",INDEX('編成'!$M$16:$AI$62,MATCH($B62,'編成'!$AI$16:$AI$62,0),8))</f>
      </c>
      <c r="G62" s="270">
        <f>IF($A62="","",INDEX('編成'!$M$16:$AI$62,MATCH($B62,'編成'!$AI$16:$AI$62,0),10))</f>
      </c>
      <c r="H62" s="271">
        <f>IF($A62="","",INDEX('編成'!$M$16:$AI$62,MATCH($B62,'編成'!$AI$16:$AI$62,0),12))</f>
      </c>
      <c r="I62" s="279"/>
      <c r="J62" s="280" t="s">
        <v>164</v>
      </c>
      <c r="K62" s="279"/>
      <c r="L62" s="281" t="s">
        <v>159</v>
      </c>
      <c r="M62" s="279"/>
      <c r="N62" s="280" t="s">
        <v>165</v>
      </c>
      <c r="O62" s="279"/>
      <c r="P62" s="274">
        <f>IF($A62="","",INDEX('編成'!$M$16:$AI$62,MATCH($B62,'編成'!$AI$16:$AI$62,0),15))</f>
      </c>
      <c r="Q62" s="275">
        <f>IF($A62="","",INDEX('編成'!$M$16:$AI$62,MATCH($B62,'編成'!$AI$16:$AI$62,0),18))</f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">
    <mergeCell ref="I6:O6"/>
  </mergeCells>
  <printOptions horizontalCentered="1"/>
  <pageMargins left="0.3937007874015748" right="0" top="0" bottom="0" header="0" footer="0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BB67"/>
  <sheetViews>
    <sheetView view="pageBreakPreview" zoomScaleNormal="120" zoomScaleSheetLayoutView="100" zoomScalePageLayoutView="0" workbookViewId="0" topLeftCell="A1">
      <pane xSplit="2" ySplit="5" topLeftCell="C6" activePane="bottomRight" state="frozen"/>
      <selection pane="topLeft" activeCell="AR51" sqref="AR51:AX58"/>
      <selection pane="topRight" activeCell="AR51" sqref="AR51:AX58"/>
      <selection pane="bottomLeft" activeCell="AR51" sqref="AR51:AX58"/>
      <selection pane="bottomRight" activeCell="B1" sqref="B1"/>
    </sheetView>
  </sheetViews>
  <sheetFormatPr defaultColWidth="9.00390625" defaultRowHeight="13.5"/>
  <cols>
    <col min="1" max="1" width="2.625" style="1" hidden="1" customWidth="1"/>
    <col min="2" max="2" width="10.00390625" style="9" customWidth="1"/>
    <col min="3" max="3" width="0.74609375" style="9" customWidth="1"/>
    <col min="4" max="4" width="0.6171875" style="9" customWidth="1"/>
    <col min="5" max="5" width="1.875" style="9" customWidth="1"/>
    <col min="6" max="6" width="2.625" style="9" customWidth="1"/>
    <col min="7" max="7" width="1.875" style="9" customWidth="1"/>
    <col min="8" max="8" width="0.6171875" style="9" customWidth="1"/>
    <col min="9" max="9" width="0.74609375" style="9" customWidth="1"/>
    <col min="10" max="10" width="0.74609375" style="10" customWidth="1"/>
    <col min="11" max="11" width="0.6171875" style="9" customWidth="1"/>
    <col min="12" max="12" width="1.875" style="9" customWidth="1"/>
    <col min="13" max="13" width="2.625" style="9" customWidth="1"/>
    <col min="14" max="14" width="1.875" style="9" customWidth="1"/>
    <col min="15" max="15" width="0.6171875" style="9" customWidth="1"/>
    <col min="16" max="16" width="0.74609375" style="10" customWidth="1"/>
    <col min="17" max="17" width="0.74609375" style="9" customWidth="1"/>
    <col min="18" max="18" width="0.6171875" style="9" customWidth="1"/>
    <col min="19" max="19" width="1.875" style="9" customWidth="1"/>
    <col min="20" max="20" width="2.625" style="9" customWidth="1"/>
    <col min="21" max="21" width="1.875" style="9" customWidth="1"/>
    <col min="22" max="22" width="0.6171875" style="9" customWidth="1"/>
    <col min="23" max="24" width="0.74609375" style="9" customWidth="1"/>
    <col min="25" max="25" width="0.6171875" style="9" customWidth="1"/>
    <col min="26" max="26" width="1.875" style="9" customWidth="1"/>
    <col min="27" max="27" width="2.625" style="9" customWidth="1"/>
    <col min="28" max="28" width="1.875" style="9" customWidth="1"/>
    <col min="29" max="29" width="0.6171875" style="9" customWidth="1"/>
    <col min="30" max="31" width="0.74609375" style="9" customWidth="1"/>
    <col min="32" max="32" width="0.6171875" style="9" customWidth="1"/>
    <col min="33" max="33" width="1.875" style="9" customWidth="1"/>
    <col min="34" max="34" width="2.625" style="9" customWidth="1"/>
    <col min="35" max="35" width="1.875" style="9" customWidth="1"/>
    <col min="36" max="36" width="0.6171875" style="9" customWidth="1"/>
    <col min="37" max="38" width="0.74609375" style="9" customWidth="1"/>
    <col min="39" max="39" width="0.6171875" style="9" customWidth="1"/>
    <col min="40" max="40" width="1.875" style="9" customWidth="1"/>
    <col min="41" max="41" width="2.625" style="9" customWidth="1"/>
    <col min="42" max="42" width="1.875" style="9" customWidth="1"/>
    <col min="43" max="43" width="0.6171875" style="9" customWidth="1"/>
    <col min="44" max="44" width="0.74609375" style="9" customWidth="1"/>
    <col min="45" max="49" width="3.75390625" style="1" customWidth="1"/>
    <col min="50" max="50" width="7.875" style="1" customWidth="1"/>
    <col min="51" max="51" width="4.75390625" style="1" customWidth="1"/>
    <col min="52" max="52" width="5.50390625" style="1" customWidth="1"/>
    <col min="53" max="53" width="6.50390625" style="1" customWidth="1"/>
    <col min="54" max="54" width="4.375" style="1" customWidth="1"/>
    <col min="55" max="16384" width="9.00390625" style="1" customWidth="1"/>
  </cols>
  <sheetData>
    <row r="1" spans="2:50" ht="20.25" customHeight="1">
      <c r="B1" s="20" t="s">
        <v>167</v>
      </c>
      <c r="S1" s="79" t="s">
        <v>15</v>
      </c>
      <c r="AP1" s="96"/>
      <c r="AQ1" s="96"/>
      <c r="AR1" s="96"/>
      <c r="AS1" s="134"/>
      <c r="AT1" s="115"/>
      <c r="AU1" s="16"/>
      <c r="AX1" s="16"/>
    </row>
    <row r="2" spans="2:7" ht="12.75" customHeight="1">
      <c r="B2" s="21" t="s">
        <v>7</v>
      </c>
      <c r="G2" s="1"/>
    </row>
    <row r="3" spans="2:51" ht="15.75" customHeight="1" hidden="1">
      <c r="B3" s="114"/>
      <c r="C3" s="552">
        <v>1</v>
      </c>
      <c r="D3" s="552"/>
      <c r="E3" s="552"/>
      <c r="F3" s="552"/>
      <c r="G3" s="552"/>
      <c r="H3" s="552"/>
      <c r="I3" s="552"/>
      <c r="J3" s="552">
        <v>2</v>
      </c>
      <c r="K3" s="552"/>
      <c r="L3" s="552"/>
      <c r="M3" s="552"/>
      <c r="N3" s="552"/>
      <c r="O3" s="552"/>
      <c r="P3" s="552"/>
      <c r="Q3" s="552">
        <v>3</v>
      </c>
      <c r="R3" s="552"/>
      <c r="S3" s="552"/>
      <c r="T3" s="552"/>
      <c r="U3" s="552"/>
      <c r="V3" s="552"/>
      <c r="W3" s="552"/>
      <c r="X3" s="552">
        <v>4</v>
      </c>
      <c r="Y3" s="552"/>
      <c r="Z3" s="552"/>
      <c r="AA3" s="552"/>
      <c r="AB3" s="552"/>
      <c r="AC3" s="552"/>
      <c r="AD3" s="552"/>
      <c r="AE3" s="552">
        <v>5</v>
      </c>
      <c r="AF3" s="552"/>
      <c r="AG3" s="552"/>
      <c r="AH3" s="552"/>
      <c r="AI3" s="552"/>
      <c r="AJ3" s="552"/>
      <c r="AK3" s="552"/>
      <c r="AL3" s="552">
        <v>6</v>
      </c>
      <c r="AM3" s="552"/>
      <c r="AN3" s="552"/>
      <c r="AO3" s="552"/>
      <c r="AP3" s="552"/>
      <c r="AQ3" s="552"/>
      <c r="AR3" s="552"/>
      <c r="AS3" s="9"/>
      <c r="AT3" s="9"/>
      <c r="AU3" s="9"/>
      <c r="AV3" s="9"/>
      <c r="AW3" s="9"/>
      <c r="AX3" s="9"/>
      <c r="AY3" s="9"/>
    </row>
    <row r="4" spans="2:49" ht="26.25" customHeight="1" thickBot="1">
      <c r="B4" s="537" t="str">
        <f>'記入'!D5</f>
        <v>　第４回 石川県ユース(Ｕ－1３)サッカーリーグ 2014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23" t="str">
        <f>"≪"&amp;'記入'!P5&amp;"≫"</f>
        <v>≪Ａ≫</v>
      </c>
      <c r="AU4" s="523"/>
      <c r="AV4" s="523"/>
      <c r="AW4" s="523"/>
    </row>
    <row r="5" spans="2:54" ht="23.25" customHeight="1" thickBot="1">
      <c r="B5" s="22" t="str">
        <f>'編成'!F2</f>
        <v>Ａ</v>
      </c>
      <c r="C5" s="539" t="str">
        <f>'編成'!AK4</f>
        <v>松任中学校</v>
      </c>
      <c r="D5" s="540"/>
      <c r="E5" s="540"/>
      <c r="F5" s="540"/>
      <c r="G5" s="540"/>
      <c r="H5" s="540"/>
      <c r="I5" s="540"/>
      <c r="J5" s="539" t="str">
        <f>'編成'!AK5</f>
        <v>ＦＣ小松</v>
      </c>
      <c r="K5" s="540"/>
      <c r="L5" s="540"/>
      <c r="M5" s="540"/>
      <c r="N5" s="540"/>
      <c r="O5" s="540"/>
      <c r="P5" s="540"/>
      <c r="Q5" s="539" t="str">
        <f>'編成'!AK6</f>
        <v>河北台ＳＣ</v>
      </c>
      <c r="R5" s="540"/>
      <c r="S5" s="540"/>
      <c r="T5" s="540"/>
      <c r="U5" s="540"/>
      <c r="V5" s="540"/>
      <c r="W5" s="540"/>
      <c r="X5" s="539" t="str">
        <f>'編成'!AK7</f>
        <v>FC.SOUTHERN</v>
      </c>
      <c r="Y5" s="540"/>
      <c r="Z5" s="540"/>
      <c r="AA5" s="540"/>
      <c r="AB5" s="540"/>
      <c r="AC5" s="540"/>
      <c r="AD5" s="540"/>
      <c r="AE5" s="539" t="str">
        <f>'編成'!AK8</f>
        <v>根上中学校</v>
      </c>
      <c r="AF5" s="540"/>
      <c r="AG5" s="540"/>
      <c r="AH5" s="540"/>
      <c r="AI5" s="540"/>
      <c r="AJ5" s="540"/>
      <c r="AK5" s="540"/>
      <c r="AL5" s="539" t="str">
        <f>'編成'!AK9</f>
        <v>ＦＣ．ＴＯＮ</v>
      </c>
      <c r="AM5" s="540"/>
      <c r="AN5" s="540"/>
      <c r="AO5" s="540"/>
      <c r="AP5" s="540"/>
      <c r="AQ5" s="540"/>
      <c r="AR5" s="540"/>
      <c r="AS5" s="13" t="s">
        <v>5</v>
      </c>
      <c r="AT5" s="12" t="s">
        <v>0</v>
      </c>
      <c r="AU5" s="12" t="s">
        <v>1</v>
      </c>
      <c r="AV5" s="14" t="s">
        <v>6</v>
      </c>
      <c r="AW5" s="15" t="s">
        <v>2</v>
      </c>
      <c r="AX5" s="549" t="s">
        <v>2</v>
      </c>
      <c r="AY5" s="550"/>
      <c r="AZ5" s="1" t="s">
        <v>39</v>
      </c>
      <c r="BA5" s="491" t="s">
        <v>45</v>
      </c>
      <c r="BB5" s="492"/>
    </row>
    <row r="6" spans="1:54" ht="11.25" customHeight="1" thickTop="1">
      <c r="A6" s="553">
        <v>1</v>
      </c>
      <c r="B6" s="554" t="str">
        <f>C5</f>
        <v>松任中学校</v>
      </c>
      <c r="C6" s="97"/>
      <c r="D6" s="98"/>
      <c r="E6" s="98"/>
      <c r="F6" s="98"/>
      <c r="G6" s="98"/>
      <c r="H6" s="98"/>
      <c r="I6" s="99"/>
      <c r="J6" s="536">
        <f>IF(L7="","",INDEX('記入'!$A$7:$Q$62,MATCH(VALUE($A6&amp;J$3&amp;1),'記入'!$A$7:$A$62,0),9))</f>
        <v>0</v>
      </c>
      <c r="K6" s="534"/>
      <c r="L6" s="534"/>
      <c r="M6" s="1" t="str">
        <f>IF(L8="","",IF(J6=N6,"△",IF(J6&gt;N6,"○","●")))</f>
        <v>●</v>
      </c>
      <c r="N6" s="534">
        <f>IF(L7="","",INDEX('記入'!$A$7:$Q$62,MATCH(VALUE($A6&amp;J$3&amp;1),'記入'!$A$7:$A$62,0),15))</f>
        <v>11</v>
      </c>
      <c r="O6" s="534"/>
      <c r="P6" s="535"/>
      <c r="Q6" s="536">
        <f>IF(S7="","",INDEX('記入'!$A$7:$Q$62,MATCH(VALUE($A6&amp;Q$3&amp;1),'記入'!$A$7:$A$62,0),9))</f>
        <v>1</v>
      </c>
      <c r="R6" s="534"/>
      <c r="S6" s="534"/>
      <c r="T6" s="1" t="str">
        <f>IF(S8="","",IF(Q6=U6,"△",IF(Q6&gt;U6,"○","●")))</f>
        <v>●</v>
      </c>
      <c r="U6" s="534">
        <f>IF(S7="","",INDEX('記入'!$A$7:$Q$62,MATCH(VALUE($A6&amp;Q$3&amp;1),'記入'!$A$7:$A$62,0),15))</f>
        <v>2</v>
      </c>
      <c r="V6" s="534"/>
      <c r="W6" s="535"/>
      <c r="X6" s="536">
        <f>IF(Z7="","",INDEX('記入'!$A$7:$Q$62,MATCH(VALUE($A6&amp;X$3&amp;1),'記入'!$A$7:$A$62,0),9))</f>
        <v>0</v>
      </c>
      <c r="Y6" s="534"/>
      <c r="Z6" s="534"/>
      <c r="AA6" s="1" t="str">
        <f>IF(Z8="","",IF(X6=AB6,"△",IF(X6&gt;AB6,"○","●")))</f>
        <v>●</v>
      </c>
      <c r="AB6" s="534">
        <f>IF(Z7="","",INDEX('記入'!$A$7:$Q$62,MATCH(VALUE($A6&amp;X$3&amp;1),'記入'!$A$7:$A$62,0),15))</f>
        <v>7</v>
      </c>
      <c r="AC6" s="534"/>
      <c r="AD6" s="535"/>
      <c r="AE6" s="536">
        <f>IF(AG7="","",INDEX('記入'!$A$7:$Q$62,MATCH(VALUE($A6&amp;AE$3&amp;1),'記入'!$A$7:$A$62,0),9))</f>
        <v>0</v>
      </c>
      <c r="AF6" s="534"/>
      <c r="AG6" s="534"/>
      <c r="AH6" s="1" t="str">
        <f>IF(AG8="","",IF(AE6=AI6,"△",IF(AE6&gt;AI6,"○","●")))</f>
        <v>●</v>
      </c>
      <c r="AI6" s="534">
        <f>IF(AG7="","",INDEX('記入'!$A$7:$Q$62,MATCH(VALUE($A6&amp;AE$3&amp;1),'記入'!$A$7:$A$62,0),15))</f>
        <v>5</v>
      </c>
      <c r="AJ6" s="534"/>
      <c r="AK6" s="535"/>
      <c r="AL6" s="536">
        <f>IF(AN7="","",INDEX('記入'!$A$7:$Q$62,MATCH(VALUE($A6&amp;AL$3&amp;1),'記入'!$A$7:$A$62,0),9))</f>
        <v>0</v>
      </c>
      <c r="AM6" s="534"/>
      <c r="AN6" s="534"/>
      <c r="AO6" s="1" t="str">
        <f>IF(AN8="","",IF(AL6=AP6,"△",IF(AL6&gt;AP6,"○","●")))</f>
        <v>●</v>
      </c>
      <c r="AP6" s="534">
        <f>IF(AN7="","",INDEX('記入'!$A$7:$Q$62,MATCH(VALUE($A6&amp;AL$3&amp;1),'記入'!$A$7:$A$62,0),15))</f>
        <v>5</v>
      </c>
      <c r="AQ6" s="534"/>
      <c r="AR6" s="535"/>
      <c r="AS6" s="551">
        <f>IF(COUNT(C7:AR7)=0,"",COUNTIF(F$6:F$65,"●")*3+COUNTIF(F$6:F$65,"△"))</f>
        <v>0</v>
      </c>
      <c r="AT6" s="522">
        <f>IF(AS6="","",SUM(G$6:G$65)/2)</f>
        <v>1</v>
      </c>
      <c r="AU6" s="522">
        <f>IF(AS6="","",SUM(C$6:C$65))</f>
        <v>39</v>
      </c>
      <c r="AV6" s="524">
        <f>IF(AS6="","",AT6-AU6)</f>
        <v>-38</v>
      </c>
      <c r="AW6" s="497">
        <f>IF(AS6="","",RANK(AX6,AX$6:AX$65))</f>
        <v>6</v>
      </c>
      <c r="AX6" s="62">
        <f>IF(AS6="",-ROW()*10000,AS6*10000+AV6*100+AT6+COUNTIF(C6:AR6,"&gt;=0")/20)</f>
        <v>-3798.5</v>
      </c>
      <c r="AY6" s="546">
        <f>RANK(AX6,AX$6:AX$65)</f>
        <v>6</v>
      </c>
      <c r="AZ6" s="1">
        <v>1</v>
      </c>
      <c r="BA6" s="131">
        <f>IF(AS6="",-ROW()*10000,AS6*10000+AV6*100+AT6+COUNTIF(C6:AR6,"&gt;=0")/20-ROW()/1000)</f>
        <v>-3798.506</v>
      </c>
      <c r="BB6" s="493">
        <f>RANK(BA6,BA$6:BA$65)</f>
        <v>6</v>
      </c>
    </row>
    <row r="7" spans="1:54" ht="10.5" customHeight="1">
      <c r="A7" s="553"/>
      <c r="B7" s="542"/>
      <c r="C7" s="19"/>
      <c r="D7" s="3"/>
      <c r="E7" s="3"/>
      <c r="F7" s="3"/>
      <c r="G7" s="3"/>
      <c r="H7" s="3"/>
      <c r="I7" s="4"/>
      <c r="J7" s="2"/>
      <c r="K7" s="5"/>
      <c r="L7" s="25">
        <f>IF(K9="","",IF(INDEX('記入'!$A$7:$Q$62,MATCH(VALUE($A6&amp;J$3&amp;1),'記入'!$A$7:$A$62,0),11)="","",INDEX('記入'!$A$7:$Q$62,MATCH(VALUE($A6&amp;J$3&amp;1),'記入'!$A$7:$A$62,0),11)))</f>
        <v>0</v>
      </c>
      <c r="M7" s="26" t="s">
        <v>3</v>
      </c>
      <c r="N7" s="27">
        <f>IF(L7="","",INDEX('記入'!$A$7:$Q$62,MATCH(VALUE($A6&amp;J$3&amp;1),'記入'!$A$7:$A$62,0),13))</f>
        <v>4</v>
      </c>
      <c r="O7" s="6"/>
      <c r="P7" s="4"/>
      <c r="Q7" s="2"/>
      <c r="R7" s="5"/>
      <c r="S7" s="25">
        <f>IF(R9="","",IF(INDEX('記入'!$A$7:$Q$62,MATCH(VALUE($A6&amp;Q$3&amp;1),'記入'!$A$7:$A$62,0),11)="","",INDEX('記入'!$A$7:$Q$62,MATCH(VALUE($A6&amp;Q$3&amp;1),'記入'!$A$7:$A$62,0),11)))</f>
        <v>1</v>
      </c>
      <c r="T7" s="26" t="s">
        <v>3</v>
      </c>
      <c r="U7" s="27">
        <f>IF(S7="","",INDEX('記入'!$A$7:$Q$62,MATCH(VALUE($A6&amp;Q$3&amp;1),'記入'!$A$7:$A$62,0),13))</f>
        <v>2</v>
      </c>
      <c r="V7" s="6"/>
      <c r="W7" s="4"/>
      <c r="X7" s="2"/>
      <c r="Y7" s="5"/>
      <c r="Z7" s="25">
        <f>IF(Y9="","",IF(INDEX('記入'!$A$7:$Q$62,MATCH(VALUE($A6&amp;X$3&amp;1),'記入'!$A$7:$A$62,0),11)="","",INDEX('記入'!$A$7:$Q$62,MATCH(VALUE($A6&amp;X$3&amp;1),'記入'!$A$7:$A$62,0),11)))</f>
        <v>0</v>
      </c>
      <c r="AA7" s="26" t="s">
        <v>3</v>
      </c>
      <c r="AB7" s="27">
        <f>IF(Z7="","",INDEX('記入'!$A$7:$Q$62,MATCH(VALUE($A6&amp;X$3&amp;1),'記入'!$A$7:$A$62,0),13))</f>
        <v>3</v>
      </c>
      <c r="AC7" s="6"/>
      <c r="AD7" s="4"/>
      <c r="AE7" s="2"/>
      <c r="AF7" s="5"/>
      <c r="AG7" s="25">
        <f>IF(AF9="","",IF(INDEX('記入'!$A$7:$Q$62,MATCH(VALUE($A6&amp;AE$3&amp;1),'記入'!$A$7:$A$62,0),11)="","",INDEX('記入'!$A$7:$Q$62,MATCH(VALUE($A6&amp;AE$3&amp;1),'記入'!$A$7:$A$62,0),11)))</f>
        <v>0</v>
      </c>
      <c r="AH7" s="26" t="s">
        <v>3</v>
      </c>
      <c r="AI7" s="27">
        <f>IF(AG7="","",INDEX('記入'!$A$7:$Q$62,MATCH(VALUE($A6&amp;AE$3&amp;1),'記入'!$A$7:$A$62,0),13))</f>
        <v>1</v>
      </c>
      <c r="AJ7" s="6"/>
      <c r="AK7" s="4"/>
      <c r="AL7" s="2"/>
      <c r="AM7" s="5"/>
      <c r="AN7" s="25">
        <f>IF(AM9="","",IF(INDEX('記入'!$A$7:$Q$62,MATCH(VALUE($A6&amp;AL$3&amp;1),'記入'!$A$7:$A$62,0),11)="","",INDEX('記入'!$A$7:$Q$62,MATCH(VALUE($A6&amp;AL$3&amp;1),'記入'!$A$7:$A$62,0),11)))</f>
        <v>0</v>
      </c>
      <c r="AO7" s="26" t="s">
        <v>3</v>
      </c>
      <c r="AP7" s="27">
        <f>IF(AN7="","",INDEX('記入'!$A$7:$Q$62,MATCH(VALUE($A6&amp;AL$3&amp;1),'記入'!$A$7:$A$62,0),13))</f>
        <v>0</v>
      </c>
      <c r="AQ7" s="6"/>
      <c r="AR7" s="4"/>
      <c r="AS7" s="509"/>
      <c r="AT7" s="505"/>
      <c r="AU7" s="505"/>
      <c r="AV7" s="489"/>
      <c r="AW7" s="498"/>
      <c r="AX7" s="62"/>
      <c r="AY7" s="547"/>
      <c r="BA7" s="132"/>
      <c r="BB7" s="494"/>
    </row>
    <row r="8" spans="1:54" ht="10.5" customHeight="1">
      <c r="A8" s="553"/>
      <c r="B8" s="542"/>
      <c r="C8" s="19"/>
      <c r="D8" s="3"/>
      <c r="E8" s="3"/>
      <c r="F8" s="3"/>
      <c r="G8" s="3"/>
      <c r="H8" s="3"/>
      <c r="I8" s="4"/>
      <c r="J8" s="2"/>
      <c r="K8" s="7"/>
      <c r="L8" s="25">
        <f>IF(L7="","",J6-L7)</f>
        <v>0</v>
      </c>
      <c r="M8" s="26" t="s">
        <v>3</v>
      </c>
      <c r="N8" s="27">
        <f>IF(N7="","",N6-N7)</f>
        <v>7</v>
      </c>
      <c r="O8" s="8"/>
      <c r="P8" s="4"/>
      <c r="Q8" s="2"/>
      <c r="R8" s="7"/>
      <c r="S8" s="25">
        <f>IF(S7="","",Q6-S7)</f>
        <v>0</v>
      </c>
      <c r="T8" s="26" t="s">
        <v>3</v>
      </c>
      <c r="U8" s="27">
        <f>IF(U7="","",U6-U7)</f>
        <v>0</v>
      </c>
      <c r="V8" s="8"/>
      <c r="W8" s="4"/>
      <c r="X8" s="2"/>
      <c r="Y8" s="7"/>
      <c r="Z8" s="25">
        <f>IF(Z7="","",X6-Z7)</f>
        <v>0</v>
      </c>
      <c r="AA8" s="26" t="s">
        <v>3</v>
      </c>
      <c r="AB8" s="27">
        <f>IF(AB7="","",AB6-AB7)</f>
        <v>4</v>
      </c>
      <c r="AC8" s="8"/>
      <c r="AD8" s="4"/>
      <c r="AE8" s="2"/>
      <c r="AF8" s="7"/>
      <c r="AG8" s="25">
        <f>IF(AG7="","",AE6-AG7)</f>
        <v>0</v>
      </c>
      <c r="AH8" s="26" t="s">
        <v>3</v>
      </c>
      <c r="AI8" s="27">
        <f>IF(AI7="","",AI6-AI7)</f>
        <v>4</v>
      </c>
      <c r="AJ8" s="8"/>
      <c r="AK8" s="4"/>
      <c r="AL8" s="2"/>
      <c r="AM8" s="7"/>
      <c r="AN8" s="25">
        <f>IF(AN7="","",AL6-AN7)</f>
        <v>0</v>
      </c>
      <c r="AO8" s="26" t="s">
        <v>3</v>
      </c>
      <c r="AP8" s="27">
        <f>IF(AP7="","",AP6-AP7)</f>
        <v>5</v>
      </c>
      <c r="AQ8" s="8"/>
      <c r="AR8" s="4"/>
      <c r="AS8" s="509"/>
      <c r="AT8" s="505"/>
      <c r="AU8" s="505"/>
      <c r="AV8" s="489"/>
      <c r="AW8" s="498"/>
      <c r="AX8" s="62"/>
      <c r="AY8" s="547"/>
      <c r="BA8" s="132"/>
      <c r="BB8" s="494"/>
    </row>
    <row r="9" spans="1:54" ht="11.25" customHeight="1">
      <c r="A9" s="553"/>
      <c r="B9" s="542"/>
      <c r="C9" s="19"/>
      <c r="D9" s="3"/>
      <c r="E9" s="3"/>
      <c r="F9" s="3"/>
      <c r="G9" s="3"/>
      <c r="H9" s="3"/>
      <c r="I9" s="4"/>
      <c r="J9" s="95"/>
      <c r="K9" s="512" t="str">
        <f>IF(COUNT(MATCH(VALUE($A6&amp;J$3&amp;1),'記入'!$A$7:$A$62,0))=0,"",INDEX('記入'!$A$7:$Q$62,MATCH(VALUE($A6&amp;J$3&amp;1),'記入'!$A$7:$A$62,0),3))</f>
        <v>⑥</v>
      </c>
      <c r="L9" s="512"/>
      <c r="M9" s="528">
        <f>IF(K9="","",INDEX('記入'!$A$7:$Q$62,MATCH(VALUE($A6&amp;J$3&amp;1),'記入'!$A$7:$A$62,0),4))</f>
        <v>41819</v>
      </c>
      <c r="N9" s="528"/>
      <c r="O9" s="528"/>
      <c r="P9" s="529"/>
      <c r="Q9" s="95"/>
      <c r="R9" s="512" t="str">
        <f>IF(COUNT(MATCH(VALUE($A6&amp;Q$3&amp;1),'記入'!$A$7:$A$62,0))=0,"",INDEX('記入'!$A$7:$Q$62,MATCH(VALUE($A6&amp;Q$3&amp;1),'記入'!$A$7:$A$62,0),3))</f>
        <v>⑤</v>
      </c>
      <c r="S9" s="512"/>
      <c r="T9" s="528">
        <f>IF(R9="","",INDEX('記入'!$A$7:$Q$62,MATCH(VALUE($A6&amp;Q$3&amp;1),'記入'!$A$7:$A$62,0),4))</f>
        <v>41791</v>
      </c>
      <c r="U9" s="528"/>
      <c r="V9" s="528"/>
      <c r="W9" s="529"/>
      <c r="X9" s="95"/>
      <c r="Y9" s="512" t="str">
        <f>IF(COUNT(MATCH(VALUE($A6&amp;X$3&amp;1),'記入'!$A$7:$A$62,0))=0,"",INDEX('記入'!$A$7:$Q$62,MATCH(VALUE($A6&amp;X$3&amp;1),'記入'!$A$7:$A$62,0),3))</f>
        <v>⑤</v>
      </c>
      <c r="Z9" s="512"/>
      <c r="AA9" s="528">
        <f>IF(Y9="","",INDEX('記入'!$A$7:$Q$62,MATCH(VALUE($A6&amp;X$3&amp;1),'記入'!$A$7:$A$62,0),4))</f>
        <v>41797</v>
      </c>
      <c r="AB9" s="528"/>
      <c r="AC9" s="528"/>
      <c r="AD9" s="529"/>
      <c r="AE9" s="95"/>
      <c r="AF9" s="512" t="str">
        <f>IF(COUNT(MATCH(VALUE($A6&amp;AE$3&amp;1),'記入'!$A$7:$A$62,0))=0,"",INDEX('記入'!$A$7:$Q$62,MATCH(VALUE($A6&amp;AE$3&amp;1),'記入'!$A$7:$A$62,0),3))</f>
        <v>⑤</v>
      </c>
      <c r="AG9" s="512"/>
      <c r="AH9" s="528">
        <f>IF(AF9="","",INDEX('記入'!$A$7:$Q$62,MATCH(VALUE($A6&amp;AE$3&amp;1),'記入'!$A$7:$A$62,0),4))</f>
        <v>41804</v>
      </c>
      <c r="AI9" s="528"/>
      <c r="AJ9" s="528"/>
      <c r="AK9" s="529"/>
      <c r="AL9" s="95"/>
      <c r="AM9" s="512" t="str">
        <f>IF(COUNT(MATCH(VALUE($A6&amp;AL$3&amp;1),'記入'!$A$7:$A$62,0))=0,"",INDEX('記入'!$A$7:$Q$62,MATCH(VALUE($A6&amp;AL$3&amp;1),'記入'!$A$7:$A$62,0),3))</f>
        <v>⑦</v>
      </c>
      <c r="AN9" s="512"/>
      <c r="AO9" s="528">
        <f>IF(AM9="","",INDEX('記入'!$A$7:$Q$62,MATCH(VALUE($A6&amp;AL$3&amp;1),'記入'!$A$7:$A$62,0),4))</f>
        <v>41833</v>
      </c>
      <c r="AP9" s="528"/>
      <c r="AQ9" s="528"/>
      <c r="AR9" s="529"/>
      <c r="AS9" s="509"/>
      <c r="AT9" s="505"/>
      <c r="AU9" s="505"/>
      <c r="AV9" s="489"/>
      <c r="AW9" s="498"/>
      <c r="AX9" s="62"/>
      <c r="AY9" s="547"/>
      <c r="BA9" s="132"/>
      <c r="BB9" s="494"/>
    </row>
    <row r="10" spans="1:54" ht="11.25" customHeight="1">
      <c r="A10" s="553"/>
      <c r="B10" s="542"/>
      <c r="C10" s="19"/>
      <c r="D10" s="3"/>
      <c r="E10" s="3"/>
      <c r="F10" s="3"/>
      <c r="G10" s="3"/>
      <c r="H10" s="3"/>
      <c r="I10" s="4"/>
      <c r="J10" s="531" t="str">
        <f>IF(K9="","",INDEX('記入'!$A$7:$Q$62,MATCH(VALUE($A6&amp;J$3&amp;1),'記入'!$A$7:$A$62,0),6))</f>
        <v>松任公園Ｇ</v>
      </c>
      <c r="K10" s="512"/>
      <c r="L10" s="512"/>
      <c r="M10" s="512"/>
      <c r="N10" s="512"/>
      <c r="O10" s="512"/>
      <c r="P10" s="532"/>
      <c r="Q10" s="531" t="str">
        <f>IF(R9="","",INDEX('記入'!$A$7:$Q$62,MATCH(VALUE($A6&amp;Q$3&amp;1),'記入'!$A$7:$A$62,0),6))</f>
        <v>松任中Ｇ</v>
      </c>
      <c r="R10" s="512"/>
      <c r="S10" s="512"/>
      <c r="T10" s="512"/>
      <c r="U10" s="512"/>
      <c r="V10" s="512"/>
      <c r="W10" s="532"/>
      <c r="X10" s="531" t="str">
        <f>IF(Y9="","",INDEX('記入'!$A$7:$Q$62,MATCH(VALUE($A6&amp;X$3&amp;1),'記入'!$A$7:$A$62,0),6))</f>
        <v>高岡中Ｇ</v>
      </c>
      <c r="Y10" s="512"/>
      <c r="Z10" s="512"/>
      <c r="AA10" s="512"/>
      <c r="AB10" s="512"/>
      <c r="AC10" s="512"/>
      <c r="AD10" s="532"/>
      <c r="AE10" s="531" t="str">
        <f>IF(AF9="","",INDEX('記入'!$A$7:$Q$62,MATCH(VALUE($A6&amp;AE$3&amp;1),'記入'!$A$7:$A$62,0),6))</f>
        <v>安原</v>
      </c>
      <c r="AF10" s="512"/>
      <c r="AG10" s="512"/>
      <c r="AH10" s="512"/>
      <c r="AI10" s="512"/>
      <c r="AJ10" s="512"/>
      <c r="AK10" s="532"/>
      <c r="AL10" s="531" t="str">
        <f>IF(AM9="","",INDEX('記入'!$A$7:$Q$62,MATCH(VALUE($A6&amp;AL$3&amp;1),'記入'!$A$7:$A$62,0),6))</f>
        <v>松任中Ｇ</v>
      </c>
      <c r="AM10" s="512"/>
      <c r="AN10" s="512"/>
      <c r="AO10" s="512"/>
      <c r="AP10" s="512"/>
      <c r="AQ10" s="512"/>
      <c r="AR10" s="532"/>
      <c r="AS10" s="509"/>
      <c r="AT10" s="505"/>
      <c r="AU10" s="505"/>
      <c r="AV10" s="489"/>
      <c r="AW10" s="498"/>
      <c r="AX10" s="62"/>
      <c r="AY10" s="547"/>
      <c r="BA10" s="132"/>
      <c r="BB10" s="494"/>
    </row>
    <row r="11" spans="1:54" ht="11.25" customHeight="1">
      <c r="A11" s="553"/>
      <c r="B11" s="542"/>
      <c r="C11" s="19"/>
      <c r="D11" s="3"/>
      <c r="E11" s="3"/>
      <c r="F11" s="3"/>
      <c r="G11" s="3"/>
      <c r="H11" s="3"/>
      <c r="I11" s="4"/>
      <c r="J11" s="520">
        <f>IF(L12="","",INDEX('記入'!$A$7:$Q$62,MATCH(VALUE($A6&amp;J$3&amp;2),'記入'!$A$7:$A$62,0),9))</f>
      </c>
      <c r="K11" s="518"/>
      <c r="L11" s="518"/>
      <c r="M11" s="11">
        <f>IF(L13="","",IF(J11=N11,"△",IF(J11&gt;N11,"○","●")))</f>
      </c>
      <c r="N11" s="518">
        <f>IF(L12="","",INDEX('記入'!$A$7:$Q$62,MATCH(VALUE($A6&amp;J$3&amp;2),'記入'!$A$7:$A$62,0),15))</f>
      </c>
      <c r="O11" s="518"/>
      <c r="P11" s="519"/>
      <c r="Q11" s="520">
        <f>IF(S12="","",INDEX('記入'!$A$7:$Q$62,MATCH(VALUE($A6&amp;Q$3&amp;2),'記入'!$A$7:$A$62,0),9))</f>
      </c>
      <c r="R11" s="518"/>
      <c r="S11" s="518"/>
      <c r="T11" s="11">
        <f>IF(S13="","",IF(Q11=U11,"△",IF(Q11&gt;U11,"○","●")))</f>
      </c>
      <c r="U11" s="518">
        <f>IF(S12="","",INDEX('記入'!$A$7:$Q$62,MATCH(VALUE($A6&amp;Q$3&amp;2),'記入'!$A$7:$A$62,0),15))</f>
      </c>
      <c r="V11" s="518"/>
      <c r="W11" s="519"/>
      <c r="X11" s="520">
        <f>IF(Z12="","",INDEX('記入'!$A$7:$Q$62,MATCH(VALUE($A6&amp;X$3&amp;2),'記入'!$A$7:$A$62,0),9))</f>
        <v>0</v>
      </c>
      <c r="Y11" s="518"/>
      <c r="Z11" s="518"/>
      <c r="AA11" s="11" t="str">
        <f>IF(Z13="","",IF(X11=AB11,"△",IF(X11&gt;AB11,"○","●")))</f>
        <v>●</v>
      </c>
      <c r="AB11" s="518">
        <f>IF(Z12="","",INDEX('記入'!$A$7:$Q$62,MATCH(VALUE($A6&amp;X$3&amp;2),'記入'!$A$7:$A$62,0),15))</f>
        <v>3</v>
      </c>
      <c r="AC11" s="518"/>
      <c r="AD11" s="519"/>
      <c r="AE11" s="520">
        <f>IF(AG12="","",INDEX('記入'!$A$7:$Q$62,MATCH(VALUE($A6&amp;AE$3&amp;2),'記入'!$A$7:$A$62,0),9))</f>
        <v>0</v>
      </c>
      <c r="AF11" s="518"/>
      <c r="AG11" s="518"/>
      <c r="AH11" s="11" t="str">
        <f>IF(AG13="","",IF(AE11=AI11,"△",IF(AE11&gt;AI11,"○","●")))</f>
        <v>●</v>
      </c>
      <c r="AI11" s="518">
        <f>IF(AG12="","",INDEX('記入'!$A$7:$Q$62,MATCH(VALUE($A6&amp;AE$3&amp;2),'記入'!$A$7:$A$62,0),15))</f>
        <v>3</v>
      </c>
      <c r="AJ11" s="518"/>
      <c r="AK11" s="519"/>
      <c r="AL11" s="520">
        <f>IF(AN12="","",INDEX('記入'!$A$7:$Q$62,MATCH(VALUE($A6&amp;AL$3&amp;2),'記入'!$A$7:$A$62,0),9))</f>
        <v>0</v>
      </c>
      <c r="AM11" s="518"/>
      <c r="AN11" s="518"/>
      <c r="AO11" s="11" t="str">
        <f>IF(AN13="","",IF(AL11=AP11,"△",IF(AL11&gt;AP11,"○","●")))</f>
        <v>●</v>
      </c>
      <c r="AP11" s="518">
        <f>IF(AN12="","",INDEX('記入'!$A$7:$Q$62,MATCH(VALUE($A6&amp;AL$3&amp;2),'記入'!$A$7:$A$62,0),15))</f>
        <v>3</v>
      </c>
      <c r="AQ11" s="518"/>
      <c r="AR11" s="519"/>
      <c r="AS11" s="509"/>
      <c r="AT11" s="505"/>
      <c r="AU11" s="505"/>
      <c r="AV11" s="489"/>
      <c r="AW11" s="498"/>
      <c r="AX11" s="62"/>
      <c r="AY11" s="547"/>
      <c r="BA11" s="132"/>
      <c r="BB11" s="494"/>
    </row>
    <row r="12" spans="1:54" ht="11.25" customHeight="1">
      <c r="A12" s="553"/>
      <c r="B12" s="542"/>
      <c r="C12" s="3"/>
      <c r="D12" s="3"/>
      <c r="E12" s="3"/>
      <c r="F12" s="3"/>
      <c r="G12" s="3"/>
      <c r="H12" s="3"/>
      <c r="I12" s="4"/>
      <c r="J12" s="2"/>
      <c r="K12" s="5"/>
      <c r="L12" s="25">
        <f>IF(K14="","",IF(INDEX('記入'!$A$7:$Q$62,MATCH(VALUE($A6&amp;J$3&amp;2),'記入'!$A$7:$A$62,0),11)="","",INDEX('記入'!$A$7:$Q$62,MATCH(VALUE($A6&amp;J$3&amp;2),'記入'!$A$7:$A$62,0),11)))</f>
      </c>
      <c r="M12" s="26" t="s">
        <v>3</v>
      </c>
      <c r="N12" s="27">
        <f>IF(L12="","",INDEX('記入'!$A$7:$Q$62,MATCH(VALUE($A6&amp;J$3&amp;2),'記入'!$A$7:$A$62,0),13))</f>
      </c>
      <c r="O12" s="6"/>
      <c r="P12" s="4"/>
      <c r="Q12" s="2"/>
      <c r="R12" s="5"/>
      <c r="S12" s="25">
        <f>IF(R14="","",IF(INDEX('記入'!$A$7:$Q$62,MATCH(VALUE($A6&amp;Q$3&amp;2),'記入'!$A$7:$A$62,0),11)="","",INDEX('記入'!$A$7:$Q$62,MATCH(VALUE($A6&amp;Q$3&amp;2),'記入'!$A$7:$A$62,0),11)))</f>
      </c>
      <c r="T12" s="26" t="s">
        <v>3</v>
      </c>
      <c r="U12" s="27">
        <f>IF(S12="","",INDEX('記入'!$A$7:$Q$62,MATCH(VALUE($A6&amp;Q$3&amp;2),'記入'!$A$7:$A$62,0),13))</f>
      </c>
      <c r="V12" s="6"/>
      <c r="W12" s="4"/>
      <c r="X12" s="2"/>
      <c r="Y12" s="5"/>
      <c r="Z12" s="25">
        <f>IF(Y14="","",IF(INDEX('記入'!$A$7:$Q$62,MATCH(VALUE($A6&amp;X$3&amp;2),'記入'!$A$7:$A$62,0),11)="","",INDEX('記入'!$A$7:$Q$62,MATCH(VALUE($A6&amp;X$3&amp;2),'記入'!$A$7:$A$62,0),11)))</f>
        <v>0</v>
      </c>
      <c r="AA12" s="26" t="s">
        <v>3</v>
      </c>
      <c r="AB12" s="27">
        <f>IF(Z12="","",INDEX('記入'!$A$7:$Q$62,MATCH(VALUE($A6&amp;X$3&amp;2),'記入'!$A$7:$A$62,0),13))</f>
        <v>2</v>
      </c>
      <c r="AC12" s="6"/>
      <c r="AD12" s="4"/>
      <c r="AE12" s="2"/>
      <c r="AF12" s="5"/>
      <c r="AG12" s="25">
        <f>IF(AF14="","",IF(INDEX('記入'!$A$7:$Q$62,MATCH(VALUE($A6&amp;AE$3&amp;2),'記入'!$A$7:$A$62,0),11)="","",INDEX('記入'!$A$7:$Q$62,MATCH(VALUE($A6&amp;AE$3&amp;2),'記入'!$A$7:$A$62,0),11)))</f>
        <v>0</v>
      </c>
      <c r="AH12" s="26" t="s">
        <v>3</v>
      </c>
      <c r="AI12" s="27">
        <f>IF(AG12="","",INDEX('記入'!$A$7:$Q$62,MATCH(VALUE($A6&amp;AE$3&amp;2),'記入'!$A$7:$A$62,0),13))</f>
        <v>1</v>
      </c>
      <c r="AJ12" s="6"/>
      <c r="AK12" s="4"/>
      <c r="AL12" s="2"/>
      <c r="AM12" s="5"/>
      <c r="AN12" s="25">
        <f>IF(AM14="","",IF(INDEX('記入'!$A$7:$Q$62,MATCH(VALUE($A6&amp;AL$3&amp;2),'記入'!$A$7:$A$62,0),11)="","",INDEX('記入'!$A$7:$Q$62,MATCH(VALUE($A6&amp;AL$3&amp;2),'記入'!$A$7:$A$62,0),11)))</f>
        <v>0</v>
      </c>
      <c r="AO12" s="26" t="s">
        <v>3</v>
      </c>
      <c r="AP12" s="27">
        <f>IF(AN12="","",INDEX('記入'!$A$7:$Q$62,MATCH(VALUE($A6&amp;AL$3&amp;2),'記入'!$A$7:$A$62,0),13))</f>
        <v>0</v>
      </c>
      <c r="AQ12" s="6"/>
      <c r="AR12" s="4"/>
      <c r="AS12" s="509"/>
      <c r="AT12" s="505"/>
      <c r="AU12" s="505"/>
      <c r="AV12" s="489"/>
      <c r="AW12" s="498"/>
      <c r="AX12" s="62"/>
      <c r="AY12" s="547"/>
      <c r="BA12" s="132"/>
      <c r="BB12" s="494"/>
    </row>
    <row r="13" spans="1:54" ht="11.25" customHeight="1">
      <c r="A13" s="553"/>
      <c r="B13" s="542"/>
      <c r="C13" s="3"/>
      <c r="D13" s="3"/>
      <c r="E13" s="3"/>
      <c r="F13" s="3"/>
      <c r="G13" s="3"/>
      <c r="H13" s="3"/>
      <c r="I13" s="4"/>
      <c r="J13" s="2"/>
      <c r="K13" s="7"/>
      <c r="L13" s="25">
        <f>IF(L12="","",J11-L12)</f>
      </c>
      <c r="M13" s="26" t="s">
        <v>3</v>
      </c>
      <c r="N13" s="27">
        <f>IF(N12="","",N11-N12)</f>
      </c>
      <c r="O13" s="8"/>
      <c r="P13" s="4"/>
      <c r="Q13" s="2"/>
      <c r="R13" s="7"/>
      <c r="S13" s="25">
        <f>IF(S12="","",Q11-S12)</f>
      </c>
      <c r="T13" s="26" t="s">
        <v>3</v>
      </c>
      <c r="U13" s="27">
        <f>IF(U12="","",U11-U12)</f>
      </c>
      <c r="V13" s="8"/>
      <c r="W13" s="4"/>
      <c r="X13" s="2"/>
      <c r="Y13" s="7"/>
      <c r="Z13" s="25">
        <f>IF(Z12="","",X11-Z12)</f>
        <v>0</v>
      </c>
      <c r="AA13" s="26" t="s">
        <v>3</v>
      </c>
      <c r="AB13" s="27">
        <f>IF(AB12="","",AB11-AB12)</f>
        <v>1</v>
      </c>
      <c r="AC13" s="8"/>
      <c r="AD13" s="4"/>
      <c r="AE13" s="2"/>
      <c r="AF13" s="7"/>
      <c r="AG13" s="25">
        <f>IF(AG12="","",AE11-AG12)</f>
        <v>0</v>
      </c>
      <c r="AH13" s="26" t="s">
        <v>3</v>
      </c>
      <c r="AI13" s="27">
        <f>IF(AI12="","",AI11-AI12)</f>
        <v>2</v>
      </c>
      <c r="AJ13" s="8"/>
      <c r="AK13" s="4"/>
      <c r="AL13" s="2"/>
      <c r="AM13" s="7"/>
      <c r="AN13" s="25">
        <f>IF(AN12="","",AL11-AN12)</f>
        <v>0</v>
      </c>
      <c r="AO13" s="26" t="s">
        <v>3</v>
      </c>
      <c r="AP13" s="27">
        <f>IF(AP12="","",AP11-AP12)</f>
        <v>3</v>
      </c>
      <c r="AQ13" s="8"/>
      <c r="AR13" s="4"/>
      <c r="AS13" s="509"/>
      <c r="AT13" s="505"/>
      <c r="AU13" s="505"/>
      <c r="AV13" s="489"/>
      <c r="AW13" s="498"/>
      <c r="AX13" s="62"/>
      <c r="AY13" s="547"/>
      <c r="BA13" s="132"/>
      <c r="BB13" s="494"/>
    </row>
    <row r="14" spans="1:54" ht="11.25" customHeight="1">
      <c r="A14" s="553"/>
      <c r="B14" s="542"/>
      <c r="C14" s="3"/>
      <c r="D14" s="3"/>
      <c r="E14" s="3"/>
      <c r="F14" s="3"/>
      <c r="G14" s="3"/>
      <c r="H14" s="3"/>
      <c r="I14" s="4"/>
      <c r="J14" s="95"/>
      <c r="K14" s="512" t="str">
        <f>IF(COUNT(MATCH(VALUE($A6&amp;J$3&amp;2),'記入'!$A$7:$A$62,0))=0,"",INDEX('記入'!$A$7:$Q$62,MATCH(VALUE($A6&amp;J$3&amp;2),'記入'!$A$7:$A$62,0),3))</f>
        <v>⑬</v>
      </c>
      <c r="L14" s="512"/>
      <c r="M14" s="528">
        <f>IF(K14="","",INDEX('記入'!$A$7:$Q$62,MATCH(VALUE($A6&amp;J$3&amp;2),'記入'!$A$7:$A$62,0),4))</f>
        <v>41930</v>
      </c>
      <c r="N14" s="528"/>
      <c r="O14" s="528"/>
      <c r="P14" s="529"/>
      <c r="Q14" s="95"/>
      <c r="R14" s="512" t="str">
        <f>IF(COUNT(MATCH(VALUE($A6&amp;Q$3&amp;2),'記入'!$A$7:$A$62,0))=0,"",INDEX('記入'!$A$7:$Q$62,MATCH(VALUE($A6&amp;Q$3&amp;2),'記入'!$A$7:$A$62,0),3))</f>
        <v>⑬</v>
      </c>
      <c r="S14" s="512"/>
      <c r="T14" s="528">
        <f>IF(R14="","",INDEX('記入'!$A$7:$Q$62,MATCH(VALUE($A6&amp;Q$3&amp;2),'記入'!$A$7:$A$62,0),4))</f>
        <v>41938</v>
      </c>
      <c r="U14" s="528"/>
      <c r="V14" s="528"/>
      <c r="W14" s="529"/>
      <c r="X14" s="95"/>
      <c r="Y14" s="512" t="str">
        <f>IF(COUNT(MATCH(VALUE($A6&amp;X$3&amp;2),'記入'!$A$7:$A$62,0))=0,"",INDEX('記入'!$A$7:$Q$62,MATCH(VALUE($A6&amp;X$3&amp;2),'記入'!$A$7:$A$62,0),3))</f>
        <v>⑨</v>
      </c>
      <c r="Z14" s="512"/>
      <c r="AA14" s="528">
        <f>IF(Y14="","",INDEX('記入'!$A$7:$Q$62,MATCH(VALUE($A6&amp;X$3&amp;2),'記入'!$A$7:$A$62,0),4))</f>
        <v>41860</v>
      </c>
      <c r="AB14" s="528"/>
      <c r="AC14" s="528"/>
      <c r="AD14" s="529"/>
      <c r="AE14" s="95"/>
      <c r="AF14" s="512" t="str">
        <f>IF(COUNT(MATCH(VALUE($A6&amp;AE$3&amp;2),'記入'!$A$7:$A$62,0))=0,"",INDEX('記入'!$A$7:$Q$62,MATCH(VALUE($A6&amp;AE$3&amp;2),'記入'!$A$7:$A$62,0),3))</f>
        <v>⑩</v>
      </c>
      <c r="AG14" s="512"/>
      <c r="AH14" s="528">
        <f>IF(AF14="","",INDEX('記入'!$A$7:$Q$62,MATCH(VALUE($A6&amp;AE$3&amp;2),'記入'!$A$7:$A$62,0),4))</f>
        <v>41888</v>
      </c>
      <c r="AI14" s="528"/>
      <c r="AJ14" s="528"/>
      <c r="AK14" s="529"/>
      <c r="AL14" s="95"/>
      <c r="AM14" s="512" t="str">
        <f>IF(COUNT(MATCH(VALUE($A6&amp;AL$3&amp;2),'記入'!$A$7:$A$62,0))=0,"",INDEX('記入'!$A$7:$Q$62,MATCH(VALUE($A6&amp;AL$3&amp;2),'記入'!$A$7:$A$62,0),3))</f>
        <v>⑧</v>
      </c>
      <c r="AN14" s="512"/>
      <c r="AO14" s="528">
        <f>IF(AM14="","",INDEX('記入'!$A$7:$Q$62,MATCH(VALUE($A6&amp;AL$3&amp;2),'記入'!$A$7:$A$62,0),4))</f>
        <v>41847</v>
      </c>
      <c r="AP14" s="528"/>
      <c r="AQ14" s="528"/>
      <c r="AR14" s="529"/>
      <c r="AS14" s="509"/>
      <c r="AT14" s="505"/>
      <c r="AU14" s="505"/>
      <c r="AV14" s="489"/>
      <c r="AW14" s="498"/>
      <c r="AX14" s="62"/>
      <c r="AY14" s="547"/>
      <c r="BA14" s="132"/>
      <c r="BB14" s="494"/>
    </row>
    <row r="15" spans="1:54" ht="11.25" customHeight="1">
      <c r="A15" s="553"/>
      <c r="B15" s="544"/>
      <c r="C15" s="3"/>
      <c r="D15" s="3"/>
      <c r="E15" s="3"/>
      <c r="F15" s="3"/>
      <c r="G15" s="3"/>
      <c r="H15" s="3"/>
      <c r="I15" s="4"/>
      <c r="J15" s="515" t="str">
        <f>IF(K14="","",INDEX('記入'!$A$7:$Q$62,MATCH(VALUE($A6&amp;J$3&amp;2),'記入'!$A$7:$A$62,0),6))</f>
        <v>松任中Ｇ</v>
      </c>
      <c r="K15" s="516"/>
      <c r="L15" s="516"/>
      <c r="M15" s="516"/>
      <c r="N15" s="516"/>
      <c r="O15" s="516"/>
      <c r="P15" s="517"/>
      <c r="Q15" s="515" t="str">
        <f>IF(R14="","",INDEX('記入'!$A$7:$Q$62,MATCH(VALUE($A6&amp;Q$3&amp;2),'記入'!$A$7:$A$62,0),6))</f>
        <v>松任公園Ｇ</v>
      </c>
      <c r="R15" s="516"/>
      <c r="S15" s="516"/>
      <c r="T15" s="516"/>
      <c r="U15" s="516"/>
      <c r="V15" s="516"/>
      <c r="W15" s="517"/>
      <c r="X15" s="515" t="str">
        <f>IF(Y14="","",INDEX('記入'!$A$7:$Q$62,MATCH(VALUE($A6&amp;X$3&amp;2),'記入'!$A$7:$A$62,0),6))</f>
        <v>松任中Ｇ</v>
      </c>
      <c r="Y15" s="516"/>
      <c r="Z15" s="516"/>
      <c r="AA15" s="516"/>
      <c r="AB15" s="516"/>
      <c r="AC15" s="516"/>
      <c r="AD15" s="517"/>
      <c r="AE15" s="515" t="str">
        <f>IF(AF14="","",INDEX('記入'!$A$7:$Q$62,MATCH(VALUE($A6&amp;AE$3&amp;2),'記入'!$A$7:$A$62,0),6))</f>
        <v>北星中Ｇ</v>
      </c>
      <c r="AF15" s="516"/>
      <c r="AG15" s="516"/>
      <c r="AH15" s="516"/>
      <c r="AI15" s="516"/>
      <c r="AJ15" s="516"/>
      <c r="AK15" s="517"/>
      <c r="AL15" s="515" t="str">
        <f>IF(AM14="","",INDEX('記入'!$A$7:$Q$62,MATCH(VALUE($A6&amp;AL$3&amp;2),'記入'!$A$7:$A$62,0),6))</f>
        <v>松任中Ｇ</v>
      </c>
      <c r="AM15" s="516"/>
      <c r="AN15" s="516"/>
      <c r="AO15" s="516"/>
      <c r="AP15" s="516"/>
      <c r="AQ15" s="516"/>
      <c r="AR15" s="517"/>
      <c r="AS15" s="509"/>
      <c r="AT15" s="505"/>
      <c r="AU15" s="505"/>
      <c r="AV15" s="489"/>
      <c r="AW15" s="498"/>
      <c r="AX15" s="62"/>
      <c r="AY15" s="548"/>
      <c r="BA15" s="132"/>
      <c r="BB15" s="495"/>
    </row>
    <row r="16" spans="1:54" ht="11.25" customHeight="1">
      <c r="A16" s="553">
        <v>2</v>
      </c>
      <c r="B16" s="541" t="str">
        <f>IF(J5="","",J5)</f>
        <v>ＦＣ小松</v>
      </c>
      <c r="C16" s="521">
        <f>IF(E18="","",E17+E18)</f>
        <v>11</v>
      </c>
      <c r="D16" s="518"/>
      <c r="E16" s="518"/>
      <c r="F16" s="11" t="str">
        <f>IF(E18="","",IF(C16=G16,"△",IF(C16&gt;G16,"○","●")))</f>
        <v>○</v>
      </c>
      <c r="G16" s="518">
        <f>IF(G18="","",G17+G18)</f>
        <v>0</v>
      </c>
      <c r="H16" s="518"/>
      <c r="I16" s="519"/>
      <c r="J16" s="2"/>
      <c r="K16" s="3"/>
      <c r="L16" s="3"/>
      <c r="M16" s="3"/>
      <c r="N16" s="3"/>
      <c r="O16" s="3"/>
      <c r="P16" s="4"/>
      <c r="Q16" s="530">
        <f>IF(S17="","",INDEX('記入'!$A$7:$Q$62,MATCH(VALUE($A16&amp;Q$3&amp;1),'記入'!$A$7:$A$62,0),9))</f>
        <v>10</v>
      </c>
      <c r="R16" s="526"/>
      <c r="S16" s="526"/>
      <c r="T16" s="1" t="str">
        <f>IF(S18="","",IF(Q16=U16,"△",IF(Q16&gt;U16,"○","●")))</f>
        <v>○</v>
      </c>
      <c r="U16" s="526">
        <f>IF(S17="","",INDEX('記入'!$A$7:$Q$62,MATCH(VALUE($A16&amp;Q$3&amp;1),'記入'!$A$7:$A$62,0),15))</f>
        <v>0</v>
      </c>
      <c r="V16" s="526"/>
      <c r="W16" s="527"/>
      <c r="X16" s="530">
        <f>IF(Z17="","",INDEX('記入'!$A$7:$Q$62,MATCH(VALUE($A16&amp;X$3&amp;1),'記入'!$A$7:$A$62,0),9))</f>
        <v>2</v>
      </c>
      <c r="Y16" s="526"/>
      <c r="Z16" s="526"/>
      <c r="AA16" s="1" t="str">
        <f>IF(Z18="","",IF(X16=AB16,"△",IF(X16&gt;AB16,"○","●")))</f>
        <v>●</v>
      </c>
      <c r="AB16" s="526">
        <f>IF(Z17="","",INDEX('記入'!$A$7:$Q$62,MATCH(VALUE($A16&amp;X$3&amp;1),'記入'!$A$7:$A$62,0),15))</f>
        <v>4</v>
      </c>
      <c r="AC16" s="526"/>
      <c r="AD16" s="527"/>
      <c r="AE16" s="530">
        <f>IF(AG17="","",INDEX('記入'!$A$7:$Q$62,MATCH(VALUE($A16&amp;AE$3&amp;1),'記入'!$A$7:$A$62,0),9))</f>
        <v>10</v>
      </c>
      <c r="AF16" s="526"/>
      <c r="AG16" s="526"/>
      <c r="AH16" s="1" t="str">
        <f>IF(AG18="","",IF(AE16=AI16,"△",IF(AE16&gt;AI16,"○","●")))</f>
        <v>○</v>
      </c>
      <c r="AI16" s="526">
        <f>IF(AG17="","",INDEX('記入'!$A$7:$Q$62,MATCH(VALUE($A16&amp;AE$3&amp;1),'記入'!$A$7:$A$62,0),15))</f>
        <v>0</v>
      </c>
      <c r="AJ16" s="526"/>
      <c r="AK16" s="527"/>
      <c r="AL16" s="530">
        <f>IF(AN17="","",INDEX('記入'!$A$7:$Q$62,MATCH(VALUE($A16&amp;AL$3&amp;1),'記入'!$A$7:$A$62,0),9))</f>
        <v>5</v>
      </c>
      <c r="AM16" s="526"/>
      <c r="AN16" s="526"/>
      <c r="AO16" s="1" t="str">
        <f>IF(AN18="","",IF(AL16=AP16,"△",IF(AL16&gt;AP16,"○","●")))</f>
        <v>○</v>
      </c>
      <c r="AP16" s="526">
        <f>IF(AN17="","",INDEX('記入'!$A$7:$Q$62,MATCH(VALUE($A16&amp;AL$3&amp;1),'記入'!$A$7:$A$62,0),15))</f>
        <v>0</v>
      </c>
      <c r="AQ16" s="526"/>
      <c r="AR16" s="527"/>
      <c r="AS16" s="508">
        <f>IF(COUNT(C17:AR17)=0,"",COUNTIF(M$6:M$65,"●")*3+COUNTIF(M$6:M$65,"△"))</f>
        <v>15</v>
      </c>
      <c r="AT16" s="504">
        <f>IF(AS16="","",SUM(N$6:N$65)/2)</f>
        <v>39</v>
      </c>
      <c r="AU16" s="504">
        <f>IF(AS16="","",SUM(J$6:J$65))</f>
        <v>4</v>
      </c>
      <c r="AV16" s="488">
        <f>IF(AS16="","",AT16-AU16)</f>
        <v>35</v>
      </c>
      <c r="AW16" s="499">
        <f>IF(AS16="","",RANK(AX16,AX$6:AX$65))</f>
        <v>3</v>
      </c>
      <c r="AX16" s="62">
        <f>IF(AS16="",-ROW()*10000,AS16*10000+AV16*100+AT16+COUNTIF(C16:AR16,"&gt;=0")/20)</f>
        <v>153539.5</v>
      </c>
      <c r="AY16" s="546">
        <f>RANK(AX16,AX$6:AX$65)</f>
        <v>3</v>
      </c>
      <c r="AZ16" s="1">
        <v>11</v>
      </c>
      <c r="BA16" s="133">
        <f>IF(AS16="",-ROW()*10000,AS16*10000+AV16*100+AT16+COUNTIF(C16:AR16,"&gt;=0")/20-ROW()/1000)</f>
        <v>153539.484</v>
      </c>
      <c r="BB16" s="496">
        <f>RANK(BA16,BA$6:BA$65)</f>
        <v>3</v>
      </c>
    </row>
    <row r="17" spans="1:54" ht="10.5" customHeight="1">
      <c r="A17" s="553"/>
      <c r="B17" s="542"/>
      <c r="C17" s="19"/>
      <c r="D17" s="5"/>
      <c r="E17" s="17">
        <f>IF(N7="","",N7)</f>
        <v>4</v>
      </c>
      <c r="F17" s="3" t="s">
        <v>3</v>
      </c>
      <c r="G17" s="18">
        <f>IF(L7="","",L7)</f>
        <v>0</v>
      </c>
      <c r="H17" s="6"/>
      <c r="I17" s="4"/>
      <c r="J17" s="2"/>
      <c r="K17" s="3"/>
      <c r="L17" s="3"/>
      <c r="M17" s="3"/>
      <c r="N17" s="3"/>
      <c r="O17" s="3"/>
      <c r="P17" s="4"/>
      <c r="Q17" s="2"/>
      <c r="R17" s="5"/>
      <c r="S17" s="25">
        <f>IF(R19="","",IF(INDEX('記入'!$A$7:$Q$62,MATCH(VALUE($A16&amp;Q$3&amp;1),'記入'!$A$7:$A$62,0),11)="","",INDEX('記入'!$A$7:$Q$62,MATCH(VALUE($A16&amp;Q$3&amp;1),'記入'!$A$7:$A$62,0),11)))</f>
        <v>3</v>
      </c>
      <c r="T17" s="26" t="s">
        <v>3</v>
      </c>
      <c r="U17" s="27">
        <f>IF(S17="","",INDEX('記入'!$A$7:$Q$62,MATCH(VALUE($A16&amp;Q$3&amp;1),'記入'!$A$7:$A$62,0),13))</f>
        <v>0</v>
      </c>
      <c r="V17" s="6"/>
      <c r="W17" s="4"/>
      <c r="X17" s="2"/>
      <c r="Y17" s="5"/>
      <c r="Z17" s="25">
        <f>IF(Y19="","",IF(INDEX('記入'!$A$7:$Q$62,MATCH(VALUE($A16&amp;X$3&amp;1),'記入'!$A$7:$A$62,0),11)="","",INDEX('記入'!$A$7:$Q$62,MATCH(VALUE($A16&amp;X$3&amp;1),'記入'!$A$7:$A$62,0),11)))</f>
        <v>1</v>
      </c>
      <c r="AA17" s="26" t="s">
        <v>3</v>
      </c>
      <c r="AB17" s="27">
        <f>IF(Z17="","",INDEX('記入'!$A$7:$Q$62,MATCH(VALUE($A16&amp;X$3&amp;1),'記入'!$A$7:$A$62,0),13))</f>
        <v>0</v>
      </c>
      <c r="AC17" s="6"/>
      <c r="AD17" s="4"/>
      <c r="AE17" s="2"/>
      <c r="AF17" s="5"/>
      <c r="AG17" s="25">
        <f>IF(AF19="","",IF(INDEX('記入'!$A$7:$Q$62,MATCH(VALUE($A16&amp;AE$3&amp;1),'記入'!$A$7:$A$62,0),11)="","",INDEX('記入'!$A$7:$Q$62,MATCH(VALUE($A16&amp;AE$3&amp;1),'記入'!$A$7:$A$62,0),11)))</f>
        <v>7</v>
      </c>
      <c r="AH17" s="26" t="s">
        <v>3</v>
      </c>
      <c r="AI17" s="27">
        <f>IF(AG17="","",INDEX('記入'!$A$7:$Q$62,MATCH(VALUE($A16&amp;AE$3&amp;1),'記入'!$A$7:$A$62,0),13))</f>
        <v>0</v>
      </c>
      <c r="AJ17" s="6"/>
      <c r="AK17" s="4"/>
      <c r="AL17" s="2"/>
      <c r="AM17" s="5"/>
      <c r="AN17" s="25">
        <f>IF(AM19="","",IF(INDEX('記入'!$A$7:$Q$62,MATCH(VALUE($A16&amp;AL$3&amp;1),'記入'!$A$7:$A$62,0),11)="","",INDEX('記入'!$A$7:$Q$62,MATCH(VALUE($A16&amp;AL$3&amp;1),'記入'!$A$7:$A$62,0),11)))</f>
        <v>2</v>
      </c>
      <c r="AO17" s="26" t="s">
        <v>3</v>
      </c>
      <c r="AP17" s="27">
        <f>IF(AN17="","",INDEX('記入'!$A$7:$Q$62,MATCH(VALUE($A16&amp;AL$3&amp;1),'記入'!$A$7:$A$62,0),13))</f>
        <v>0</v>
      </c>
      <c r="AQ17" s="6"/>
      <c r="AR17" s="4"/>
      <c r="AS17" s="509"/>
      <c r="AT17" s="505"/>
      <c r="AU17" s="505"/>
      <c r="AV17" s="489"/>
      <c r="AW17" s="498"/>
      <c r="AX17" s="62"/>
      <c r="AY17" s="547"/>
      <c r="BA17" s="132"/>
      <c r="BB17" s="494"/>
    </row>
    <row r="18" spans="1:54" ht="10.5" customHeight="1">
      <c r="A18" s="553"/>
      <c r="B18" s="542"/>
      <c r="C18" s="19"/>
      <c r="D18" s="7"/>
      <c r="E18" s="17">
        <f>IF(N8="","",N8)</f>
        <v>7</v>
      </c>
      <c r="F18" s="3" t="s">
        <v>3</v>
      </c>
      <c r="G18" s="18">
        <f>IF(L8="","",L8)</f>
        <v>0</v>
      </c>
      <c r="H18" s="8"/>
      <c r="I18" s="4"/>
      <c r="J18" s="2"/>
      <c r="K18" s="3"/>
      <c r="L18" s="3"/>
      <c r="M18" s="3"/>
      <c r="N18" s="3"/>
      <c r="O18" s="3"/>
      <c r="P18" s="4"/>
      <c r="Q18" s="2"/>
      <c r="R18" s="7"/>
      <c r="S18" s="25">
        <f>IF(S17="","",Q16-S17)</f>
        <v>7</v>
      </c>
      <c r="T18" s="26" t="s">
        <v>3</v>
      </c>
      <c r="U18" s="27">
        <f>IF(U17="","",U16-U17)</f>
        <v>0</v>
      </c>
      <c r="V18" s="8"/>
      <c r="W18" s="4"/>
      <c r="X18" s="2"/>
      <c r="Y18" s="7"/>
      <c r="Z18" s="25">
        <f>IF(Z17="","",X16-Z17)</f>
        <v>1</v>
      </c>
      <c r="AA18" s="26" t="s">
        <v>3</v>
      </c>
      <c r="AB18" s="27">
        <f>IF(AB17="","",AB16-AB17)</f>
        <v>4</v>
      </c>
      <c r="AC18" s="8"/>
      <c r="AD18" s="4"/>
      <c r="AE18" s="2"/>
      <c r="AF18" s="7"/>
      <c r="AG18" s="25">
        <f>IF(AG17="","",AE16-AG17)</f>
        <v>3</v>
      </c>
      <c r="AH18" s="26" t="s">
        <v>3</v>
      </c>
      <c r="AI18" s="27">
        <f>IF(AI17="","",AI16-AI17)</f>
        <v>0</v>
      </c>
      <c r="AJ18" s="8"/>
      <c r="AK18" s="4"/>
      <c r="AL18" s="2"/>
      <c r="AM18" s="7"/>
      <c r="AN18" s="25">
        <f>IF(AN17="","",AL16-AN17)</f>
        <v>3</v>
      </c>
      <c r="AO18" s="26" t="s">
        <v>3</v>
      </c>
      <c r="AP18" s="27">
        <f>IF(AP17="","",AP16-AP17)</f>
        <v>0</v>
      </c>
      <c r="AQ18" s="8"/>
      <c r="AR18" s="4"/>
      <c r="AS18" s="509"/>
      <c r="AT18" s="505"/>
      <c r="AU18" s="505"/>
      <c r="AV18" s="489"/>
      <c r="AW18" s="498"/>
      <c r="AX18" s="62"/>
      <c r="AY18" s="547"/>
      <c r="BA18" s="132"/>
      <c r="BB18" s="494"/>
    </row>
    <row r="19" spans="1:54" ht="11.25" customHeight="1">
      <c r="A19" s="553"/>
      <c r="B19" s="542"/>
      <c r="D19" s="512" t="str">
        <f>IF(C20="","",K9)</f>
        <v>⑥</v>
      </c>
      <c r="E19" s="512"/>
      <c r="F19" s="513">
        <f>IF(C20="","",M9)</f>
        <v>41819</v>
      </c>
      <c r="G19" s="513"/>
      <c r="H19" s="513"/>
      <c r="I19" s="514"/>
      <c r="J19" s="2"/>
      <c r="K19" s="3"/>
      <c r="L19" s="3"/>
      <c r="M19" s="3"/>
      <c r="N19" s="3"/>
      <c r="O19" s="3"/>
      <c r="P19" s="4"/>
      <c r="Q19" s="95"/>
      <c r="R19" s="512" t="str">
        <f>IF(COUNT(MATCH(VALUE($A16&amp;Q$3&amp;1),'記入'!$A$7:$A$62,0))=0,"",INDEX('記入'!$A$7:$Q$62,MATCH(VALUE($A16&amp;Q$3&amp;1),'記入'!$A$7:$A$62,0),3))</f>
        <v>⑥</v>
      </c>
      <c r="S19" s="512"/>
      <c r="T19" s="528">
        <f>IF(R19="","",INDEX('記入'!$A$7:$Q$62,MATCH(VALUE($A16&amp;Q$3&amp;1),'記入'!$A$7:$A$62,0),4))</f>
        <v>41818</v>
      </c>
      <c r="U19" s="528"/>
      <c r="V19" s="528"/>
      <c r="W19" s="529"/>
      <c r="X19" s="95"/>
      <c r="Y19" s="512" t="str">
        <f>IF(COUNT(MATCH(VALUE($A16&amp;X$3&amp;1),'記入'!$A$7:$A$62,0))=0,"",INDEX('記入'!$A$7:$Q$62,MATCH(VALUE($A16&amp;X$3&amp;1),'記入'!$A$7:$A$62,0),3))</f>
        <v>⑤</v>
      </c>
      <c r="Z19" s="512"/>
      <c r="AA19" s="528">
        <f>IF(Y19="","",INDEX('記入'!$A$7:$Q$62,MATCH(VALUE($A16&amp;X$3&amp;1),'記入'!$A$7:$A$62,0),4))</f>
        <v>41790</v>
      </c>
      <c r="AB19" s="528"/>
      <c r="AC19" s="528"/>
      <c r="AD19" s="529"/>
      <c r="AE19" s="95"/>
      <c r="AF19" s="512" t="str">
        <f>IF(COUNT(MATCH(VALUE($A16&amp;AE$3&amp;1),'記入'!$A$7:$A$62,0))=0,"",INDEX('記入'!$A$7:$Q$62,MATCH(VALUE($A16&amp;AE$3&amp;1),'記入'!$A$7:$A$62,0),3))</f>
        <v>④</v>
      </c>
      <c r="AG19" s="512"/>
      <c r="AH19" s="528">
        <f>IF(AF19="","",INDEX('記入'!$A$7:$Q$62,MATCH(VALUE($A16&amp;AE$3&amp;1),'記入'!$A$7:$A$62,0),4))</f>
        <v>41784</v>
      </c>
      <c r="AI19" s="528"/>
      <c r="AJ19" s="528"/>
      <c r="AK19" s="529"/>
      <c r="AL19" s="95"/>
      <c r="AM19" s="512" t="str">
        <f>IF(COUNT(MATCH(VALUE($A16&amp;AL$3&amp;1),'記入'!$A$7:$A$62,0))=0,"",INDEX('記入'!$A$7:$Q$62,MATCH(VALUE($A16&amp;AL$3&amp;1),'記入'!$A$7:$A$62,0),3))</f>
        <v>④</v>
      </c>
      <c r="AN19" s="512"/>
      <c r="AO19" s="528">
        <f>IF(AM19="","",INDEX('記入'!$A$7:$Q$62,MATCH(VALUE($A16&amp;AL$3&amp;1),'記入'!$A$7:$A$62,0),4))</f>
        <v>41783</v>
      </c>
      <c r="AP19" s="528"/>
      <c r="AQ19" s="528"/>
      <c r="AR19" s="529"/>
      <c r="AS19" s="509"/>
      <c r="AT19" s="505"/>
      <c r="AU19" s="505"/>
      <c r="AV19" s="489"/>
      <c r="AW19" s="498"/>
      <c r="AX19" s="62"/>
      <c r="AY19" s="547"/>
      <c r="BA19" s="132"/>
      <c r="BB19" s="494"/>
    </row>
    <row r="20" spans="1:54" ht="11.25" customHeight="1">
      <c r="A20" s="553"/>
      <c r="B20" s="542"/>
      <c r="C20" s="545" t="str">
        <f>IF(J10="","",J10)</f>
        <v>松任公園Ｇ</v>
      </c>
      <c r="D20" s="516"/>
      <c r="E20" s="516"/>
      <c r="F20" s="516"/>
      <c r="G20" s="516"/>
      <c r="H20" s="516"/>
      <c r="I20" s="517"/>
      <c r="J20" s="2"/>
      <c r="K20" s="3"/>
      <c r="L20" s="3"/>
      <c r="M20" s="3"/>
      <c r="N20" s="3"/>
      <c r="O20" s="3"/>
      <c r="P20" s="4"/>
      <c r="Q20" s="531" t="str">
        <f>IF(R19="","",INDEX('記入'!$A$7:$Q$62,MATCH(VALUE($A16&amp;Q$3&amp;1),'記入'!$A$7:$A$62,0),6))</f>
        <v>北部公園Ｇ</v>
      </c>
      <c r="R20" s="512"/>
      <c r="S20" s="512"/>
      <c r="T20" s="512"/>
      <c r="U20" s="512"/>
      <c r="V20" s="512"/>
      <c r="W20" s="532"/>
      <c r="X20" s="531" t="str">
        <f>IF(Y19="","",INDEX('記入'!$A$7:$Q$62,MATCH(VALUE($A16&amp;X$3&amp;1),'記入'!$A$7:$A$62,0),6))</f>
        <v>ドーム</v>
      </c>
      <c r="Y20" s="512"/>
      <c r="Z20" s="512"/>
      <c r="AA20" s="512"/>
      <c r="AB20" s="512"/>
      <c r="AC20" s="512"/>
      <c r="AD20" s="532"/>
      <c r="AE20" s="531" t="str">
        <f>IF(AF19="","",INDEX('記入'!$A$7:$Q$62,MATCH(VALUE($A16&amp;AE$3&amp;1),'記入'!$A$7:$A$62,0),6))</f>
        <v>ドーム</v>
      </c>
      <c r="AF20" s="512"/>
      <c r="AG20" s="512"/>
      <c r="AH20" s="512"/>
      <c r="AI20" s="512"/>
      <c r="AJ20" s="512"/>
      <c r="AK20" s="532"/>
      <c r="AL20" s="531" t="str">
        <f>IF(AM19="","",INDEX('記入'!$A$7:$Q$62,MATCH(VALUE($A16&amp;AL$3&amp;1),'記入'!$A$7:$A$62,0),6))</f>
        <v>ドーム</v>
      </c>
      <c r="AM20" s="512"/>
      <c r="AN20" s="512"/>
      <c r="AO20" s="512"/>
      <c r="AP20" s="512"/>
      <c r="AQ20" s="512"/>
      <c r="AR20" s="532"/>
      <c r="AS20" s="509"/>
      <c r="AT20" s="505"/>
      <c r="AU20" s="505"/>
      <c r="AV20" s="489"/>
      <c r="AW20" s="498"/>
      <c r="AX20" s="62"/>
      <c r="AY20" s="547"/>
      <c r="BA20" s="132"/>
      <c r="BB20" s="494"/>
    </row>
    <row r="21" spans="1:54" ht="11.25" customHeight="1">
      <c r="A21" s="553"/>
      <c r="B21" s="542"/>
      <c r="C21" s="521">
        <f>IF(E23="","",E22+E23)</f>
      </c>
      <c r="D21" s="518"/>
      <c r="E21" s="518"/>
      <c r="F21" s="11">
        <f>IF(E23="","",IF(C21=G21,"△",IF(C21&gt;G21,"○","●")))</f>
      </c>
      <c r="G21" s="518">
        <f>IF(G23="","",G22+G23)</f>
      </c>
      <c r="H21" s="518"/>
      <c r="I21" s="519"/>
      <c r="J21" s="2"/>
      <c r="K21" s="3"/>
      <c r="L21" s="3"/>
      <c r="M21" s="3"/>
      <c r="N21" s="3"/>
      <c r="O21" s="3"/>
      <c r="P21" s="4"/>
      <c r="Q21" s="520">
        <f>IF(S22="","",INDEX('記入'!$A$7:$Q$62,MATCH(VALUE($A16&amp;Q$3&amp;2),'記入'!$A$7:$A$62,0),9))</f>
        <v>1</v>
      </c>
      <c r="R21" s="518"/>
      <c r="S21" s="518"/>
      <c r="T21" s="11" t="str">
        <f>IF(S23="","",IF(Q21=U21,"△",IF(Q21&gt;U21,"○","●")))</f>
        <v>○</v>
      </c>
      <c r="U21" s="518">
        <f>IF(S22="","",INDEX('記入'!$A$7:$Q$62,MATCH(VALUE($A16&amp;Q$3&amp;2),'記入'!$A$7:$A$62,0),15))</f>
        <v>0</v>
      </c>
      <c r="V21" s="518"/>
      <c r="W21" s="519"/>
      <c r="X21" s="520">
        <f>IF(Z22="","",INDEX('記入'!$A$7:$Q$62,MATCH(VALUE($A16&amp;X$3&amp;2),'記入'!$A$7:$A$62,0),9))</f>
      </c>
      <c r="Y21" s="518"/>
      <c r="Z21" s="518"/>
      <c r="AA21" s="11">
        <f>IF(Z23="","",IF(X21=AB21,"△",IF(X21&gt;AB21,"○","●")))</f>
      </c>
      <c r="AB21" s="518">
        <f>IF(Z22="","",INDEX('記入'!$A$7:$Q$62,MATCH(VALUE($A16&amp;X$3&amp;2),'記入'!$A$7:$A$62,0),15))</f>
      </c>
      <c r="AC21" s="518"/>
      <c r="AD21" s="519"/>
      <c r="AE21" s="520">
        <f>IF(AG22="","",INDEX('記入'!$A$7:$Q$62,MATCH(VALUE($A16&amp;AE$3&amp;2),'記入'!$A$7:$A$62,0),9))</f>
      </c>
      <c r="AF21" s="518"/>
      <c r="AG21" s="518"/>
      <c r="AH21" s="11">
        <f>IF(AG23="","",IF(AE21=AI21,"△",IF(AE21&gt;AI21,"○","●")))</f>
      </c>
      <c r="AI21" s="518">
        <f>IF(AG22="","",INDEX('記入'!$A$7:$Q$62,MATCH(VALUE($A16&amp;AE$3&amp;2),'記入'!$A$7:$A$62,0),15))</f>
      </c>
      <c r="AJ21" s="518"/>
      <c r="AK21" s="519"/>
      <c r="AL21" s="520">
        <f>IF(AN22="","",INDEX('記入'!$A$7:$Q$62,MATCH(VALUE($A16&amp;AL$3&amp;2),'記入'!$A$7:$A$62,0),9))</f>
      </c>
      <c r="AM21" s="518"/>
      <c r="AN21" s="518"/>
      <c r="AO21" s="11">
        <f>IF(AN23="","",IF(AL21=AP21,"△",IF(AL21&gt;AP21,"○","●")))</f>
      </c>
      <c r="AP21" s="518">
        <f>IF(AN22="","",INDEX('記入'!$A$7:$Q$62,MATCH(VALUE($A16&amp;AL$3&amp;2),'記入'!$A$7:$A$62,0),15))</f>
      </c>
      <c r="AQ21" s="518"/>
      <c r="AR21" s="519"/>
      <c r="AS21" s="509"/>
      <c r="AT21" s="505"/>
      <c r="AU21" s="505"/>
      <c r="AV21" s="489"/>
      <c r="AW21" s="498"/>
      <c r="AX21" s="62"/>
      <c r="AY21" s="547"/>
      <c r="BA21" s="132"/>
      <c r="BB21" s="494"/>
    </row>
    <row r="22" spans="1:54" ht="11.25" customHeight="1">
      <c r="A22" s="553"/>
      <c r="B22" s="542"/>
      <c r="C22" s="19"/>
      <c r="D22" s="5"/>
      <c r="E22" s="17">
        <f>IF(N12="","",N12)</f>
      </c>
      <c r="F22" s="3" t="s">
        <v>3</v>
      </c>
      <c r="G22" s="18">
        <f>IF(L12="","",L12)</f>
      </c>
      <c r="H22" s="6"/>
      <c r="I22" s="4"/>
      <c r="J22" s="2"/>
      <c r="K22" s="3"/>
      <c r="L22" s="3"/>
      <c r="M22" s="3"/>
      <c r="N22" s="3"/>
      <c r="O22" s="3"/>
      <c r="P22" s="4"/>
      <c r="Q22" s="2"/>
      <c r="R22" s="5"/>
      <c r="S22" s="25">
        <f>IF(R24="","",IF(INDEX('記入'!$A$7:$Q$62,MATCH(VALUE($A16&amp;Q$3&amp;2),'記入'!$A$7:$A$62,0),11)="","",INDEX('記入'!$A$7:$Q$62,MATCH(VALUE($A16&amp;Q$3&amp;2),'記入'!$A$7:$A$62,0),11)))</f>
        <v>1</v>
      </c>
      <c r="T22" s="26" t="s">
        <v>3</v>
      </c>
      <c r="U22" s="27">
        <f>IF(S22="","",INDEX('記入'!$A$7:$Q$62,MATCH(VALUE($A16&amp;Q$3&amp;2),'記入'!$A$7:$A$62,0),13))</f>
        <v>0</v>
      </c>
      <c r="V22" s="6"/>
      <c r="W22" s="4"/>
      <c r="X22" s="2"/>
      <c r="Y22" s="5"/>
      <c r="Z22" s="25">
        <f>IF(Y24="","",IF(INDEX('記入'!$A$7:$Q$62,MATCH(VALUE($A16&amp;X$3&amp;2),'記入'!$A$7:$A$62,0),11)="","",INDEX('記入'!$A$7:$Q$62,MATCH(VALUE($A16&amp;X$3&amp;2),'記入'!$A$7:$A$62,0),11)))</f>
      </c>
      <c r="AA22" s="26" t="s">
        <v>3</v>
      </c>
      <c r="AB22" s="27">
        <f>IF(Z22="","",INDEX('記入'!$A$7:$Q$62,MATCH(VALUE($A16&amp;X$3&amp;2),'記入'!$A$7:$A$62,0),13))</f>
      </c>
      <c r="AC22" s="6"/>
      <c r="AD22" s="4"/>
      <c r="AE22" s="2"/>
      <c r="AF22" s="5"/>
      <c r="AG22" s="25">
        <f>IF(AF24="","",IF(INDEX('記入'!$A$7:$Q$62,MATCH(VALUE($A16&amp;AE$3&amp;2),'記入'!$A$7:$A$62,0),11)="","",INDEX('記入'!$A$7:$Q$62,MATCH(VALUE($A16&amp;AE$3&amp;2),'記入'!$A$7:$A$62,0),11)))</f>
      </c>
      <c r="AH22" s="26" t="s">
        <v>3</v>
      </c>
      <c r="AI22" s="27">
        <f>IF(AG22="","",INDEX('記入'!$A$7:$Q$62,MATCH(VALUE($A16&amp;AE$3&amp;2),'記入'!$A$7:$A$62,0),13))</f>
      </c>
      <c r="AJ22" s="6"/>
      <c r="AK22" s="4"/>
      <c r="AL22" s="2"/>
      <c r="AM22" s="5"/>
      <c r="AN22" s="25">
        <f>IF(AM24="","",IF(INDEX('記入'!$A$7:$Q$62,MATCH(VALUE($A16&amp;AL$3&amp;2),'記入'!$A$7:$A$62,0),11)="","",INDEX('記入'!$A$7:$Q$62,MATCH(VALUE($A16&amp;AL$3&amp;2),'記入'!$A$7:$A$62,0),11)))</f>
      </c>
      <c r="AO22" s="26" t="s">
        <v>3</v>
      </c>
      <c r="AP22" s="27">
        <f>IF(AN22="","",INDEX('記入'!$A$7:$Q$62,MATCH(VALUE($A16&amp;AL$3&amp;2),'記入'!$A$7:$A$62,0),13))</f>
      </c>
      <c r="AQ22" s="6"/>
      <c r="AR22" s="4"/>
      <c r="AS22" s="509"/>
      <c r="AT22" s="505"/>
      <c r="AU22" s="505"/>
      <c r="AV22" s="489"/>
      <c r="AW22" s="498"/>
      <c r="AX22" s="62"/>
      <c r="AY22" s="547"/>
      <c r="BA22" s="132"/>
      <c r="BB22" s="494"/>
    </row>
    <row r="23" spans="1:54" ht="11.25" customHeight="1">
      <c r="A23" s="553"/>
      <c r="B23" s="542"/>
      <c r="C23" s="19"/>
      <c r="D23" s="7"/>
      <c r="E23" s="17">
        <f>IF(N13="","",N13)</f>
      </c>
      <c r="F23" s="3" t="s">
        <v>3</v>
      </c>
      <c r="G23" s="18">
        <f>IF(L13="","",L13)</f>
      </c>
      <c r="H23" s="8"/>
      <c r="I23" s="4"/>
      <c r="J23" s="2"/>
      <c r="K23" s="3"/>
      <c r="L23" s="3"/>
      <c r="M23" s="3"/>
      <c r="N23" s="3"/>
      <c r="O23" s="3"/>
      <c r="P23" s="4"/>
      <c r="Q23" s="2"/>
      <c r="R23" s="7"/>
      <c r="S23" s="25">
        <f>IF(S22="","",Q21-S22)</f>
        <v>0</v>
      </c>
      <c r="T23" s="26" t="s">
        <v>3</v>
      </c>
      <c r="U23" s="27">
        <f>IF(U22="","",U21-U22)</f>
        <v>0</v>
      </c>
      <c r="V23" s="8"/>
      <c r="W23" s="4"/>
      <c r="X23" s="2"/>
      <c r="Y23" s="7"/>
      <c r="Z23" s="25">
        <f>IF(Z22="","",X21-Z22)</f>
      </c>
      <c r="AA23" s="26" t="s">
        <v>3</v>
      </c>
      <c r="AB23" s="27">
        <f>IF(AB22="","",AB21-AB22)</f>
      </c>
      <c r="AC23" s="8"/>
      <c r="AD23" s="4"/>
      <c r="AE23" s="2"/>
      <c r="AF23" s="7"/>
      <c r="AG23" s="25">
        <f>IF(AG22="","",AE21-AG22)</f>
      </c>
      <c r="AH23" s="26" t="s">
        <v>3</v>
      </c>
      <c r="AI23" s="27">
        <f>IF(AI22="","",AI21-AI22)</f>
      </c>
      <c r="AJ23" s="8"/>
      <c r="AK23" s="4"/>
      <c r="AL23" s="2"/>
      <c r="AM23" s="7"/>
      <c r="AN23" s="25">
        <f>IF(AN22="","",AL21-AN22)</f>
      </c>
      <c r="AO23" s="26" t="s">
        <v>3</v>
      </c>
      <c r="AP23" s="27">
        <f>IF(AP22="","",AP21-AP22)</f>
      </c>
      <c r="AQ23" s="8"/>
      <c r="AR23" s="4"/>
      <c r="AS23" s="509"/>
      <c r="AT23" s="505"/>
      <c r="AU23" s="505"/>
      <c r="AV23" s="489"/>
      <c r="AW23" s="498"/>
      <c r="AX23" s="62"/>
      <c r="AY23" s="547"/>
      <c r="BA23" s="132"/>
      <c r="BB23" s="494"/>
    </row>
    <row r="24" spans="1:54" ht="11.25" customHeight="1">
      <c r="A24" s="553"/>
      <c r="B24" s="542"/>
      <c r="D24" s="512" t="str">
        <f>IF(C25="","",K14)</f>
        <v>⑬</v>
      </c>
      <c r="E24" s="512"/>
      <c r="F24" s="513">
        <f>IF(C25="","",M14)</f>
        <v>41930</v>
      </c>
      <c r="G24" s="513"/>
      <c r="H24" s="513"/>
      <c r="I24" s="514"/>
      <c r="J24" s="2"/>
      <c r="K24" s="3"/>
      <c r="L24" s="3"/>
      <c r="M24" s="3"/>
      <c r="N24" s="3"/>
      <c r="O24" s="3"/>
      <c r="P24" s="4"/>
      <c r="Q24" s="95"/>
      <c r="R24" s="512" t="str">
        <f>IF(COUNT(MATCH(VALUE($A16&amp;Q$3&amp;2),'記入'!$A$7:$A$62,0))=0,"",INDEX('記入'!$A$7:$Q$62,MATCH(VALUE($A16&amp;Q$3&amp;2),'記入'!$A$7:$A$62,0),3))</f>
        <v>⑨</v>
      </c>
      <c r="S24" s="512"/>
      <c r="T24" s="528">
        <f>IF(R24="","",INDEX('記入'!$A$7:$Q$62,MATCH(VALUE($A16&amp;Q$3&amp;2),'記入'!$A$7:$A$62,0),4))</f>
        <v>41860</v>
      </c>
      <c r="U24" s="528"/>
      <c r="V24" s="528"/>
      <c r="W24" s="529"/>
      <c r="X24" s="95"/>
      <c r="Y24" s="512" t="str">
        <f>IF(COUNT(MATCH(VALUE($A16&amp;X$3&amp;2),'記入'!$A$7:$A$62,0))=0,"",INDEX('記入'!$A$7:$Q$62,MATCH(VALUE($A16&amp;X$3&amp;2),'記入'!$A$7:$A$62,0),3))</f>
        <v>⑪</v>
      </c>
      <c r="Z24" s="512"/>
      <c r="AA24" s="528">
        <f>IF(Y24="","",INDEX('記入'!$A$7:$Q$62,MATCH(VALUE($A16&amp;X$3&amp;2),'記入'!$A$7:$A$62,0),4))</f>
        <v>41909</v>
      </c>
      <c r="AB24" s="528"/>
      <c r="AC24" s="528"/>
      <c r="AD24" s="529"/>
      <c r="AE24" s="95"/>
      <c r="AF24" s="512" t="str">
        <f>IF(COUNT(MATCH(VALUE($A16&amp;AE$3&amp;2),'記入'!$A$7:$A$62,0))=0,"",INDEX('記入'!$A$7:$Q$62,MATCH(VALUE($A16&amp;AE$3&amp;2),'記入'!$A$7:$A$62,0),3))</f>
        <v>⑫</v>
      </c>
      <c r="AG24" s="512"/>
      <c r="AH24" s="528">
        <f>IF(AF24="","",INDEX('記入'!$A$7:$Q$62,MATCH(VALUE($A16&amp;AE$3&amp;2),'記入'!$A$7:$A$62,0),4))</f>
        <v>41916</v>
      </c>
      <c r="AI24" s="528"/>
      <c r="AJ24" s="528"/>
      <c r="AK24" s="529"/>
      <c r="AL24" s="95"/>
      <c r="AM24" s="512" t="str">
        <f>IF(COUNT(MATCH(VALUE($A16&amp;AL$3&amp;2),'記入'!$A$7:$A$62,0))=0,"",INDEX('記入'!$A$7:$Q$62,MATCH(VALUE($A16&amp;AL$3&amp;2),'記入'!$A$7:$A$62,0),3))</f>
        <v>⑫</v>
      </c>
      <c r="AN24" s="512"/>
      <c r="AO24" s="528">
        <f>IF(AM24="","",INDEX('記入'!$A$7:$Q$62,MATCH(VALUE($A16&amp;AL$3&amp;2),'記入'!$A$7:$A$62,0),4))</f>
        <v>41916</v>
      </c>
      <c r="AP24" s="528"/>
      <c r="AQ24" s="528"/>
      <c r="AR24" s="529"/>
      <c r="AS24" s="509"/>
      <c r="AT24" s="505"/>
      <c r="AU24" s="505"/>
      <c r="AV24" s="489"/>
      <c r="AW24" s="498"/>
      <c r="AX24" s="62"/>
      <c r="AY24" s="547"/>
      <c r="BA24" s="132"/>
      <c r="BB24" s="494"/>
    </row>
    <row r="25" spans="1:54" ht="11.25" customHeight="1">
      <c r="A25" s="553"/>
      <c r="B25" s="544"/>
      <c r="C25" s="545" t="str">
        <f>IF(J15="","",J15)</f>
        <v>松任中Ｇ</v>
      </c>
      <c r="D25" s="516"/>
      <c r="E25" s="516"/>
      <c r="F25" s="516"/>
      <c r="G25" s="516"/>
      <c r="H25" s="516"/>
      <c r="I25" s="517"/>
      <c r="J25" s="2"/>
      <c r="K25" s="3"/>
      <c r="L25" s="3"/>
      <c r="M25" s="3"/>
      <c r="N25" s="3"/>
      <c r="O25" s="3"/>
      <c r="P25" s="4"/>
      <c r="Q25" s="515" t="str">
        <f>IF(R24="","",INDEX('記入'!$A$7:$Q$62,MATCH(VALUE($A16&amp;Q$3&amp;2),'記入'!$A$7:$A$62,0),6))</f>
        <v>松任中Ｇ</v>
      </c>
      <c r="R25" s="516"/>
      <c r="S25" s="516"/>
      <c r="T25" s="516"/>
      <c r="U25" s="516"/>
      <c r="V25" s="516"/>
      <c r="W25" s="517"/>
      <c r="X25" s="515" t="str">
        <f>IF(Y24="","",INDEX('記入'!$A$7:$Q$62,MATCH(VALUE($A16&amp;X$3&amp;2),'記入'!$A$7:$A$62,0),6))</f>
        <v>能登島Ｂ</v>
      </c>
      <c r="Y25" s="516"/>
      <c r="Z25" s="516"/>
      <c r="AA25" s="516"/>
      <c r="AB25" s="516"/>
      <c r="AC25" s="516"/>
      <c r="AD25" s="517"/>
      <c r="AE25" s="515" t="str">
        <f>IF(AF24="","",INDEX('記入'!$A$7:$Q$62,MATCH(VALUE($A16&amp;AE$3&amp;2),'記入'!$A$7:$A$62,0),6))</f>
        <v>松任公園Ｇ</v>
      </c>
      <c r="AF25" s="516"/>
      <c r="AG25" s="516"/>
      <c r="AH25" s="516"/>
      <c r="AI25" s="516"/>
      <c r="AJ25" s="516"/>
      <c r="AK25" s="517"/>
      <c r="AL25" s="515" t="str">
        <f>IF(AM24="","",INDEX('記入'!$A$7:$Q$62,MATCH(VALUE($A16&amp;AL$3&amp;2),'記入'!$A$7:$A$62,0),6))</f>
        <v>松任公園Ｇ</v>
      </c>
      <c r="AM25" s="516"/>
      <c r="AN25" s="516"/>
      <c r="AO25" s="516"/>
      <c r="AP25" s="516"/>
      <c r="AQ25" s="516"/>
      <c r="AR25" s="517"/>
      <c r="AS25" s="510"/>
      <c r="AT25" s="506"/>
      <c r="AU25" s="506"/>
      <c r="AV25" s="507"/>
      <c r="AW25" s="500"/>
      <c r="AX25" s="62"/>
      <c r="AY25" s="548"/>
      <c r="BA25" s="132"/>
      <c r="BB25" s="495"/>
    </row>
    <row r="26" spans="1:54" ht="11.25" customHeight="1">
      <c r="A26" s="553">
        <v>3</v>
      </c>
      <c r="B26" s="541" t="str">
        <f>IF(Q5="","",Q5)</f>
        <v>河北台ＳＣ</v>
      </c>
      <c r="C26" s="520">
        <f>IF(E28="","",E27+E28)</f>
        <v>2</v>
      </c>
      <c r="D26" s="518"/>
      <c r="E26" s="518"/>
      <c r="F26" s="11" t="str">
        <f>IF(E28="","",IF(C26=G26,"△",IF(C26&gt;G26,"○","●")))</f>
        <v>○</v>
      </c>
      <c r="G26" s="518">
        <f>IF(G28="","",G27+G28)</f>
        <v>1</v>
      </c>
      <c r="H26" s="518"/>
      <c r="I26" s="519"/>
      <c r="J26" s="520">
        <f>IF(L28="","",L27+L28)</f>
        <v>0</v>
      </c>
      <c r="K26" s="518"/>
      <c r="L26" s="518"/>
      <c r="M26" s="11" t="str">
        <f>IF(L28="","",IF(J26=N26,"△",IF(J26&gt;N26,"○","●")))</f>
        <v>●</v>
      </c>
      <c r="N26" s="518">
        <f>IF(N28="","",N27+N28)</f>
        <v>10</v>
      </c>
      <c r="O26" s="518"/>
      <c r="P26" s="519"/>
      <c r="Q26" s="5"/>
      <c r="R26" s="100"/>
      <c r="S26" s="100"/>
      <c r="T26" s="100"/>
      <c r="U26" s="100"/>
      <c r="V26" s="100"/>
      <c r="W26" s="6"/>
      <c r="X26" s="530">
        <f>IF(Z27="","",INDEX('記入'!$A$7:$Q$62,MATCH(VALUE($A26&amp;X$3&amp;1),'記入'!$A$7:$A$62,0),9))</f>
        <v>0</v>
      </c>
      <c r="Y26" s="526"/>
      <c r="Z26" s="526"/>
      <c r="AA26" s="1" t="str">
        <f>IF(Z28="","",IF(X26=AB26,"△",IF(X26&gt;AB26,"○","●")))</f>
        <v>●</v>
      </c>
      <c r="AB26" s="526">
        <f>IF(Z27="","",INDEX('記入'!$A$7:$Q$62,MATCH(VALUE($A26&amp;X$3&amp;1),'記入'!$A$7:$A$62,0),15))</f>
        <v>12</v>
      </c>
      <c r="AC26" s="526"/>
      <c r="AD26" s="527"/>
      <c r="AE26" s="530">
        <f>IF(AG27="","",INDEX('記入'!$A$7:$Q$62,MATCH(VALUE($A26&amp;AE$3&amp;1),'記入'!$A$7:$A$62,0),9))</f>
        <v>0</v>
      </c>
      <c r="AF26" s="526"/>
      <c r="AG26" s="526"/>
      <c r="AH26" s="1" t="str">
        <f>IF(AG28="","",IF(AE26=AI26,"△",IF(AE26&gt;AI26,"○","●")))</f>
        <v>●</v>
      </c>
      <c r="AI26" s="526">
        <f>IF(AG27="","",INDEX('記入'!$A$7:$Q$62,MATCH(VALUE($A26&amp;AE$3&amp;1),'記入'!$A$7:$A$62,0),15))</f>
        <v>7</v>
      </c>
      <c r="AJ26" s="526"/>
      <c r="AK26" s="527"/>
      <c r="AL26" s="530">
        <f>IF(AN27="","",INDEX('記入'!$A$7:$Q$62,MATCH(VALUE($A26&amp;AL$3&amp;1),'記入'!$A$7:$A$62,0),9))</f>
        <v>1</v>
      </c>
      <c r="AM26" s="526"/>
      <c r="AN26" s="526"/>
      <c r="AO26" s="1" t="str">
        <f>IF(AN28="","",IF(AL26=AP26,"△",IF(AL26&gt;AP26,"○","●")))</f>
        <v>●</v>
      </c>
      <c r="AP26" s="526">
        <f>IF(AN27="","",INDEX('記入'!$A$7:$Q$62,MATCH(VALUE($A26&amp;AL$3&amp;1),'記入'!$A$7:$A$62,0),15))</f>
        <v>7</v>
      </c>
      <c r="AQ26" s="526"/>
      <c r="AR26" s="527"/>
      <c r="AS26" s="508">
        <f>IF(COUNT(C27:AR27)=0,"",COUNTIF(T$6:T$65,"●")*3+COUNTIF(T$6:T$65,"△"))</f>
        <v>6</v>
      </c>
      <c r="AT26" s="504">
        <f>IF(AS26="","",SUM(U$6:U$65)/2)</f>
        <v>5</v>
      </c>
      <c r="AU26" s="504">
        <f>IF(AS26="","",SUM(Q$6:Q$65))</f>
        <v>44</v>
      </c>
      <c r="AV26" s="488">
        <f>IF(AS26="","",AT26-AU26)</f>
        <v>-39</v>
      </c>
      <c r="AW26" s="499">
        <f>IF(AS26="","",RANK(AX26,AX$6:AX$65))</f>
        <v>5</v>
      </c>
      <c r="AX26" s="62">
        <f>IF(AS26="",-ROW()*10000,AS26*10000+AV26*100+AT26+COUNTIF(C26:AR26,"&gt;=0")/20)</f>
        <v>56105.5</v>
      </c>
      <c r="AY26" s="546">
        <f>RANK(AX26,AX$6:AX$65)</f>
        <v>5</v>
      </c>
      <c r="AZ26" s="1">
        <v>21</v>
      </c>
      <c r="BA26" s="133">
        <f>IF(AS26="",-ROW()*10000,AS26*10000+AV26*100+AT26+COUNTIF(C26:AR26,"&gt;=0")/20-ROW()/1000)</f>
        <v>56105.474</v>
      </c>
      <c r="BB26" s="496">
        <f>RANK(BA26,BA$6:BA$65)</f>
        <v>5</v>
      </c>
    </row>
    <row r="27" spans="1:54" ht="10.5" customHeight="1">
      <c r="A27" s="553"/>
      <c r="B27" s="542"/>
      <c r="C27" s="2"/>
      <c r="D27" s="5"/>
      <c r="E27" s="17">
        <f>IF(U7="","",U7)</f>
        <v>2</v>
      </c>
      <c r="F27" s="3" t="s">
        <v>3</v>
      </c>
      <c r="G27" s="18">
        <f>IF(S7="","",S7)</f>
        <v>1</v>
      </c>
      <c r="H27" s="6"/>
      <c r="I27" s="4"/>
      <c r="J27" s="2"/>
      <c r="K27" s="5"/>
      <c r="L27" s="17">
        <f>IF(U17="","",U17)</f>
        <v>0</v>
      </c>
      <c r="M27" s="3" t="s">
        <v>3</v>
      </c>
      <c r="N27" s="18">
        <f>IF(S17="","",S17)</f>
        <v>3</v>
      </c>
      <c r="O27" s="6"/>
      <c r="P27" s="4"/>
      <c r="Q27" s="2"/>
      <c r="R27" s="3"/>
      <c r="S27" s="3"/>
      <c r="T27" s="3"/>
      <c r="U27" s="3"/>
      <c r="V27" s="3"/>
      <c r="W27" s="4"/>
      <c r="X27" s="2"/>
      <c r="Y27" s="5"/>
      <c r="Z27" s="25">
        <f>IF(Y29="","",IF(INDEX('記入'!$A$7:$Q$62,MATCH(VALUE($A26&amp;X$3&amp;1),'記入'!$A$7:$A$62,0),11)="","",INDEX('記入'!$A$7:$Q$62,MATCH(VALUE($A26&amp;X$3&amp;1),'記入'!$A$7:$A$62,0),11)))</f>
        <v>0</v>
      </c>
      <c r="AA27" s="26" t="s">
        <v>3</v>
      </c>
      <c r="AB27" s="27">
        <f>IF(Z27="","",INDEX('記入'!$A$7:$Q$62,MATCH(VALUE($A26&amp;X$3&amp;1),'記入'!$A$7:$A$62,0),13))</f>
        <v>7</v>
      </c>
      <c r="AC27" s="6"/>
      <c r="AD27" s="4"/>
      <c r="AE27" s="2"/>
      <c r="AF27" s="5"/>
      <c r="AG27" s="25">
        <f>IF(AF29="","",IF(INDEX('記入'!$A$7:$Q$62,MATCH(VALUE($A26&amp;AE$3&amp;1),'記入'!$A$7:$A$62,0),11)="","",INDEX('記入'!$A$7:$Q$62,MATCH(VALUE($A26&amp;AE$3&amp;1),'記入'!$A$7:$A$62,0),11)))</f>
        <v>0</v>
      </c>
      <c r="AH27" s="26" t="s">
        <v>3</v>
      </c>
      <c r="AI27" s="27">
        <f>IF(AG27="","",INDEX('記入'!$A$7:$Q$62,MATCH(VALUE($A26&amp;AE$3&amp;1),'記入'!$A$7:$A$62,0),13))</f>
        <v>4</v>
      </c>
      <c r="AJ27" s="6"/>
      <c r="AK27" s="4"/>
      <c r="AL27" s="2"/>
      <c r="AM27" s="5"/>
      <c r="AN27" s="25">
        <f>IF(AM29="","",IF(INDEX('記入'!$A$7:$Q$62,MATCH(VALUE($A26&amp;AL$3&amp;1),'記入'!$A$7:$A$62,0),11)="","",INDEX('記入'!$A$7:$Q$62,MATCH(VALUE($A26&amp;AL$3&amp;1),'記入'!$A$7:$A$62,0),11)))</f>
        <v>1</v>
      </c>
      <c r="AO27" s="26" t="s">
        <v>3</v>
      </c>
      <c r="AP27" s="27">
        <f>IF(AN27="","",INDEX('記入'!$A$7:$Q$62,MATCH(VALUE($A26&amp;AL$3&amp;1),'記入'!$A$7:$A$62,0),13))</f>
        <v>3</v>
      </c>
      <c r="AQ27" s="6"/>
      <c r="AR27" s="4"/>
      <c r="AS27" s="509"/>
      <c r="AT27" s="505"/>
      <c r="AU27" s="505"/>
      <c r="AV27" s="489"/>
      <c r="AW27" s="498"/>
      <c r="AX27" s="62"/>
      <c r="AY27" s="547"/>
      <c r="BA27" s="132"/>
      <c r="BB27" s="494"/>
    </row>
    <row r="28" spans="1:54" ht="10.5" customHeight="1">
      <c r="A28" s="553"/>
      <c r="B28" s="542"/>
      <c r="C28" s="2"/>
      <c r="D28" s="7"/>
      <c r="E28" s="17">
        <f>IF(U8="","",U8)</f>
        <v>0</v>
      </c>
      <c r="F28" s="3" t="s">
        <v>3</v>
      </c>
      <c r="G28" s="18">
        <f>IF(S8="","",S8)</f>
        <v>0</v>
      </c>
      <c r="H28" s="8"/>
      <c r="I28" s="4"/>
      <c r="J28" s="2"/>
      <c r="K28" s="7"/>
      <c r="L28" s="17">
        <f>IF(U18="","",U18)</f>
        <v>0</v>
      </c>
      <c r="M28" s="3" t="s">
        <v>3</v>
      </c>
      <c r="N28" s="18">
        <f>IF(S18="","",S18)</f>
        <v>7</v>
      </c>
      <c r="O28" s="8"/>
      <c r="P28" s="4"/>
      <c r="Q28" s="2"/>
      <c r="R28" s="3"/>
      <c r="S28" s="3"/>
      <c r="T28" s="3"/>
      <c r="U28" s="3"/>
      <c r="V28" s="3"/>
      <c r="W28" s="4"/>
      <c r="X28" s="2"/>
      <c r="Y28" s="7"/>
      <c r="Z28" s="25">
        <f>IF(Z27="","",X26-Z27)</f>
        <v>0</v>
      </c>
      <c r="AA28" s="26" t="s">
        <v>3</v>
      </c>
      <c r="AB28" s="27">
        <f>IF(AB27="","",AB26-AB27)</f>
        <v>5</v>
      </c>
      <c r="AC28" s="8"/>
      <c r="AD28" s="4"/>
      <c r="AE28" s="2"/>
      <c r="AF28" s="7"/>
      <c r="AG28" s="25">
        <f>IF(AG27="","",AE26-AG27)</f>
        <v>0</v>
      </c>
      <c r="AH28" s="26" t="s">
        <v>3</v>
      </c>
      <c r="AI28" s="27">
        <f>IF(AI27="","",AI26-AI27)</f>
        <v>3</v>
      </c>
      <c r="AJ28" s="8"/>
      <c r="AK28" s="4"/>
      <c r="AL28" s="2"/>
      <c r="AM28" s="7"/>
      <c r="AN28" s="25">
        <f>IF(AN27="","",AL26-AN27)</f>
        <v>0</v>
      </c>
      <c r="AO28" s="26" t="s">
        <v>3</v>
      </c>
      <c r="AP28" s="27">
        <f>IF(AP27="","",AP26-AP27)</f>
        <v>4</v>
      </c>
      <c r="AQ28" s="8"/>
      <c r="AR28" s="4"/>
      <c r="AS28" s="509"/>
      <c r="AT28" s="505"/>
      <c r="AU28" s="505"/>
      <c r="AV28" s="489"/>
      <c r="AW28" s="498"/>
      <c r="AX28" s="62"/>
      <c r="AY28" s="547"/>
      <c r="BA28" s="132"/>
      <c r="BB28" s="494"/>
    </row>
    <row r="29" spans="1:54" ht="11.25" customHeight="1">
      <c r="A29" s="553"/>
      <c r="B29" s="542"/>
      <c r="C29" s="66"/>
      <c r="D29" s="512" t="str">
        <f>IF(C30="","",R9)</f>
        <v>⑤</v>
      </c>
      <c r="E29" s="512"/>
      <c r="F29" s="513">
        <f>IF(C30="","",T9)</f>
        <v>41791</v>
      </c>
      <c r="G29" s="513"/>
      <c r="H29" s="513"/>
      <c r="I29" s="514"/>
      <c r="J29" s="66"/>
      <c r="K29" s="512" t="str">
        <f>IF(J30="","",R19)</f>
        <v>⑥</v>
      </c>
      <c r="L29" s="512"/>
      <c r="M29" s="513">
        <f>IF(J30="","",T19)</f>
        <v>41818</v>
      </c>
      <c r="N29" s="513"/>
      <c r="O29" s="513"/>
      <c r="P29" s="514"/>
      <c r="Q29" s="2"/>
      <c r="R29" s="3"/>
      <c r="S29" s="3"/>
      <c r="T29" s="3"/>
      <c r="U29" s="3"/>
      <c r="V29" s="3"/>
      <c r="W29" s="4"/>
      <c r="X29" s="95"/>
      <c r="Y29" s="512" t="str">
        <f>IF(COUNT(MATCH(VALUE($A26&amp;X$3&amp;1),'記入'!$A$7:$A$62,0))=0,"",INDEX('記入'!$A$7:$Q$62,MATCH(VALUE($A26&amp;X$3&amp;1),'記入'!$A$7:$A$62,0),3))</f>
        <v>④</v>
      </c>
      <c r="Z29" s="512"/>
      <c r="AA29" s="528">
        <f>IF(Y29="","",INDEX('記入'!$A$7:$Q$62,MATCH(VALUE($A26&amp;X$3&amp;1),'記入'!$A$7:$A$62,0),4))</f>
        <v>41784</v>
      </c>
      <c r="AB29" s="528"/>
      <c r="AC29" s="528"/>
      <c r="AD29" s="529"/>
      <c r="AE29" s="95"/>
      <c r="AF29" s="512" t="str">
        <f>IF(COUNT(MATCH(VALUE($A26&amp;AE$3&amp;1),'記入'!$A$7:$A$62,0))=0,"",INDEX('記入'!$A$7:$Q$62,MATCH(VALUE($A26&amp;AE$3&amp;1),'記入'!$A$7:$A$62,0),3))</f>
        <v>④</v>
      </c>
      <c r="AG29" s="512"/>
      <c r="AH29" s="528">
        <f>IF(AF29="","",INDEX('記入'!$A$7:$Q$62,MATCH(VALUE($A26&amp;AE$3&amp;1),'記入'!$A$7:$A$62,0),4))</f>
        <v>41783</v>
      </c>
      <c r="AI29" s="528"/>
      <c r="AJ29" s="528"/>
      <c r="AK29" s="529"/>
      <c r="AL29" s="95"/>
      <c r="AM29" s="512" t="str">
        <f>IF(COUNT(MATCH(VALUE($A26&amp;AL$3&amp;1),'記入'!$A$7:$A$62,0))=0,"",INDEX('記入'!$A$7:$Q$62,MATCH(VALUE($A26&amp;AL$3&amp;1),'記入'!$A$7:$A$62,0),3))</f>
        <v>⑦</v>
      </c>
      <c r="AN29" s="512"/>
      <c r="AO29" s="528">
        <f>IF(AM29="","",INDEX('記入'!$A$7:$Q$62,MATCH(VALUE($A26&amp;AL$3&amp;1),'記入'!$A$7:$A$62,0),4))</f>
        <v>41826</v>
      </c>
      <c r="AP29" s="528"/>
      <c r="AQ29" s="528"/>
      <c r="AR29" s="529"/>
      <c r="AS29" s="509"/>
      <c r="AT29" s="505"/>
      <c r="AU29" s="505"/>
      <c r="AV29" s="489"/>
      <c r="AW29" s="498"/>
      <c r="AX29" s="62"/>
      <c r="AY29" s="547"/>
      <c r="BA29" s="132"/>
      <c r="BB29" s="494"/>
    </row>
    <row r="30" spans="1:54" ht="11.25" customHeight="1">
      <c r="A30" s="553"/>
      <c r="B30" s="542"/>
      <c r="C30" s="515" t="str">
        <f>IF(Q10="","",Q10)</f>
        <v>松任中Ｇ</v>
      </c>
      <c r="D30" s="516"/>
      <c r="E30" s="516"/>
      <c r="F30" s="516"/>
      <c r="G30" s="516"/>
      <c r="H30" s="516"/>
      <c r="I30" s="517"/>
      <c r="J30" s="515" t="str">
        <f>IF(Q20="","",Q20)</f>
        <v>北部公園Ｇ</v>
      </c>
      <c r="K30" s="516"/>
      <c r="L30" s="516"/>
      <c r="M30" s="516"/>
      <c r="N30" s="516"/>
      <c r="O30" s="516"/>
      <c r="P30" s="517"/>
      <c r="Q30" s="2"/>
      <c r="R30" s="3"/>
      <c r="S30" s="3"/>
      <c r="T30" s="3"/>
      <c r="U30" s="3"/>
      <c r="V30" s="3"/>
      <c r="W30" s="4"/>
      <c r="X30" s="531" t="str">
        <f>IF(Y29="","",INDEX('記入'!$A$7:$Q$62,MATCH(VALUE($A26&amp;X$3&amp;1),'記入'!$A$7:$A$62,0),6))</f>
        <v>ドーム</v>
      </c>
      <c r="Y30" s="512"/>
      <c r="Z30" s="512"/>
      <c r="AA30" s="512"/>
      <c r="AB30" s="512"/>
      <c r="AC30" s="512"/>
      <c r="AD30" s="532"/>
      <c r="AE30" s="531" t="str">
        <f>IF(AF29="","",INDEX('記入'!$A$7:$Q$62,MATCH(VALUE($A26&amp;AE$3&amp;1),'記入'!$A$7:$A$62,0),6))</f>
        <v>ドーム</v>
      </c>
      <c r="AF30" s="512"/>
      <c r="AG30" s="512"/>
      <c r="AH30" s="512"/>
      <c r="AI30" s="512"/>
      <c r="AJ30" s="512"/>
      <c r="AK30" s="532"/>
      <c r="AL30" s="531" t="str">
        <f>IF(AM29="","",INDEX('記入'!$A$7:$Q$62,MATCH(VALUE($A26&amp;AL$3&amp;1),'記入'!$A$7:$A$62,0),6))</f>
        <v>北星中Ｇ</v>
      </c>
      <c r="AM30" s="512"/>
      <c r="AN30" s="512"/>
      <c r="AO30" s="512"/>
      <c r="AP30" s="512"/>
      <c r="AQ30" s="512"/>
      <c r="AR30" s="532"/>
      <c r="AS30" s="509"/>
      <c r="AT30" s="505"/>
      <c r="AU30" s="505"/>
      <c r="AV30" s="489"/>
      <c r="AW30" s="498"/>
      <c r="AX30" s="62"/>
      <c r="AY30" s="547"/>
      <c r="BA30" s="132"/>
      <c r="BB30" s="494"/>
    </row>
    <row r="31" spans="1:54" ht="11.25" customHeight="1">
      <c r="A31" s="553"/>
      <c r="B31" s="542"/>
      <c r="C31" s="520">
        <f>IF(E33="","",E32+E33)</f>
      </c>
      <c r="D31" s="518"/>
      <c r="E31" s="518"/>
      <c r="F31" s="11">
        <f>IF(E33="","",IF(C31=G31,"△",IF(C31&gt;G31,"○","●")))</f>
      </c>
      <c r="G31" s="518">
        <f>IF(G33="","",G32+G33)</f>
      </c>
      <c r="H31" s="518"/>
      <c r="I31" s="519"/>
      <c r="J31" s="520">
        <f>IF(L33="","",L32+L33)</f>
        <v>0</v>
      </c>
      <c r="K31" s="518"/>
      <c r="L31" s="518"/>
      <c r="M31" s="11" t="str">
        <f>IF(L33="","",IF(J31=N31,"△",IF(J31&gt;N31,"○","●")))</f>
        <v>●</v>
      </c>
      <c r="N31" s="518">
        <f>IF(N33="","",N32+N33)</f>
        <v>1</v>
      </c>
      <c r="O31" s="518"/>
      <c r="P31" s="519"/>
      <c r="Q31" s="2"/>
      <c r="R31" s="3"/>
      <c r="S31" s="3"/>
      <c r="T31" s="3"/>
      <c r="U31" s="3"/>
      <c r="V31" s="3"/>
      <c r="W31" s="4"/>
      <c r="X31" s="520">
        <f>IF(Z32="","",INDEX('記入'!$A$7:$Q$62,MATCH(VALUE($A26&amp;X$3&amp;2),'記入'!$A$7:$A$62,0),9))</f>
        <v>0</v>
      </c>
      <c r="Y31" s="518"/>
      <c r="Z31" s="518"/>
      <c r="AA31" s="11" t="str">
        <f>IF(Z33="","",IF(X31=AB31,"△",IF(X31&gt;AB31,"○","●")))</f>
        <v>●</v>
      </c>
      <c r="AB31" s="518">
        <f>IF(Z32="","",INDEX('記入'!$A$7:$Q$62,MATCH(VALUE($A26&amp;X$3&amp;2),'記入'!$A$7:$A$62,0),15))</f>
        <v>6</v>
      </c>
      <c r="AC31" s="518"/>
      <c r="AD31" s="519"/>
      <c r="AE31" s="520">
        <f>IF(AG32="","",INDEX('記入'!$A$7:$Q$62,MATCH(VALUE($A26&amp;AE$3&amp;2),'記入'!$A$7:$A$62,0),9))</f>
        <v>2</v>
      </c>
      <c r="AF31" s="518"/>
      <c r="AG31" s="518"/>
      <c r="AH31" s="11" t="str">
        <f>IF(AG33="","",IF(AE31=AI31,"△",IF(AE31&gt;AI31,"○","●")))</f>
        <v>○</v>
      </c>
      <c r="AI31" s="518">
        <f>IF(AG32="","",INDEX('記入'!$A$7:$Q$62,MATCH(VALUE($A26&amp;AE$3&amp;2),'記入'!$A$7:$A$62,0),15))</f>
        <v>0</v>
      </c>
      <c r="AJ31" s="518"/>
      <c r="AK31" s="519"/>
      <c r="AL31" s="520">
        <f>IF(AN32="","",INDEX('記入'!$A$7:$Q$62,MATCH(VALUE($A26&amp;AL$3&amp;2),'記入'!$A$7:$A$62,0),9))</f>
      </c>
      <c r="AM31" s="518"/>
      <c r="AN31" s="518"/>
      <c r="AO31" s="11">
        <f>IF(AN33="","",IF(AL31=AP31,"△",IF(AL31&gt;AP31,"○","●")))</f>
      </c>
      <c r="AP31" s="518">
        <f>IF(AN32="","",INDEX('記入'!$A$7:$Q$62,MATCH(VALUE($A26&amp;AL$3&amp;2),'記入'!$A$7:$A$62,0),15))</f>
      </c>
      <c r="AQ31" s="518"/>
      <c r="AR31" s="519"/>
      <c r="AS31" s="509"/>
      <c r="AT31" s="505"/>
      <c r="AU31" s="505"/>
      <c r="AV31" s="489"/>
      <c r="AW31" s="498"/>
      <c r="AX31" s="62"/>
      <c r="AY31" s="547"/>
      <c r="BA31" s="132"/>
      <c r="BB31" s="494"/>
    </row>
    <row r="32" spans="1:54" ht="11.25" customHeight="1">
      <c r="A32" s="553"/>
      <c r="B32" s="542"/>
      <c r="C32" s="2"/>
      <c r="D32" s="5"/>
      <c r="E32" s="17">
        <f>IF(U12="","",U12)</f>
      </c>
      <c r="F32" s="3" t="s">
        <v>3</v>
      </c>
      <c r="G32" s="18">
        <f>IF(S12="","",S12)</f>
      </c>
      <c r="H32" s="6"/>
      <c r="I32" s="4"/>
      <c r="J32" s="2"/>
      <c r="K32" s="5"/>
      <c r="L32" s="17">
        <f>IF(U22="","",U22)</f>
        <v>0</v>
      </c>
      <c r="M32" s="3" t="s">
        <v>3</v>
      </c>
      <c r="N32" s="18">
        <f>IF(S22="","",S22)</f>
        <v>1</v>
      </c>
      <c r="O32" s="6"/>
      <c r="P32" s="4"/>
      <c r="Q32" s="2"/>
      <c r="R32" s="3"/>
      <c r="S32" s="3"/>
      <c r="T32" s="3"/>
      <c r="U32" s="3"/>
      <c r="V32" s="3"/>
      <c r="W32" s="4"/>
      <c r="X32" s="2"/>
      <c r="Y32" s="5"/>
      <c r="Z32" s="25">
        <f>IF(Y34="","",IF(INDEX('記入'!$A$7:$Q$62,MATCH(VALUE($A26&amp;X$3&amp;2),'記入'!$A$7:$A$62,0),11)="","",INDEX('記入'!$A$7:$Q$62,MATCH(VALUE($A26&amp;X$3&amp;2),'記入'!$A$7:$A$62,0),11)))</f>
        <v>0</v>
      </c>
      <c r="AA32" s="26" t="s">
        <v>3</v>
      </c>
      <c r="AB32" s="27">
        <f>IF(Z32="","",INDEX('記入'!$A$7:$Q$62,MATCH(VALUE($A26&amp;X$3&amp;2),'記入'!$A$7:$A$62,0),13))</f>
        <v>1</v>
      </c>
      <c r="AC32" s="6"/>
      <c r="AD32" s="4"/>
      <c r="AE32" s="2"/>
      <c r="AF32" s="5"/>
      <c r="AG32" s="25">
        <f>IF(AF34="","",IF(INDEX('記入'!$A$7:$Q$62,MATCH(VALUE($A26&amp;AE$3&amp;2),'記入'!$A$7:$A$62,0),11)="","",INDEX('記入'!$A$7:$Q$62,MATCH(VALUE($A26&amp;AE$3&amp;2),'記入'!$A$7:$A$62,0),11)))</f>
        <v>0</v>
      </c>
      <c r="AH32" s="26" t="s">
        <v>3</v>
      </c>
      <c r="AI32" s="27">
        <f>IF(AG32="","",INDEX('記入'!$A$7:$Q$62,MATCH(VALUE($A26&amp;AE$3&amp;2),'記入'!$A$7:$A$62,0),13))</f>
        <v>0</v>
      </c>
      <c r="AJ32" s="6"/>
      <c r="AK32" s="4"/>
      <c r="AL32" s="2"/>
      <c r="AM32" s="5"/>
      <c r="AN32" s="25">
        <f>IF(AM34="","",IF(INDEX('記入'!$A$7:$Q$62,MATCH(VALUE($A26&amp;AL$3&amp;2),'記入'!$A$7:$A$62,0),11)="","",INDEX('記入'!$A$7:$Q$62,MATCH(VALUE($A26&amp;AL$3&amp;2),'記入'!$A$7:$A$62,0),11)))</f>
      </c>
      <c r="AO32" s="26" t="s">
        <v>3</v>
      </c>
      <c r="AP32" s="27">
        <f>IF(AN32="","",INDEX('記入'!$A$7:$Q$62,MATCH(VALUE($A26&amp;AL$3&amp;2),'記入'!$A$7:$A$62,0),13))</f>
      </c>
      <c r="AQ32" s="6"/>
      <c r="AR32" s="4"/>
      <c r="AS32" s="509"/>
      <c r="AT32" s="505"/>
      <c r="AU32" s="505"/>
      <c r="AV32" s="489"/>
      <c r="AW32" s="498"/>
      <c r="AX32" s="62"/>
      <c r="AY32" s="547"/>
      <c r="BA32" s="132"/>
      <c r="BB32" s="494"/>
    </row>
    <row r="33" spans="1:54" ht="11.25" customHeight="1">
      <c r="A33" s="553"/>
      <c r="B33" s="542"/>
      <c r="C33" s="2"/>
      <c r="D33" s="7"/>
      <c r="E33" s="17">
        <f>IF(U13="","",U13)</f>
      </c>
      <c r="F33" s="3" t="s">
        <v>3</v>
      </c>
      <c r="G33" s="18">
        <f>IF(S13="","",S13)</f>
      </c>
      <c r="H33" s="8"/>
      <c r="I33" s="4"/>
      <c r="J33" s="2"/>
      <c r="K33" s="7"/>
      <c r="L33" s="17">
        <f>IF(U23="","",U23)</f>
        <v>0</v>
      </c>
      <c r="M33" s="3" t="s">
        <v>3</v>
      </c>
      <c r="N33" s="18">
        <f>IF(S23="","",S23)</f>
        <v>0</v>
      </c>
      <c r="O33" s="8"/>
      <c r="P33" s="4"/>
      <c r="Q33" s="2"/>
      <c r="R33" s="3"/>
      <c r="S33" s="3"/>
      <c r="T33" s="3"/>
      <c r="U33" s="3"/>
      <c r="V33" s="3"/>
      <c r="W33" s="4"/>
      <c r="X33" s="2"/>
      <c r="Y33" s="7"/>
      <c r="Z33" s="25">
        <f>IF(Z32="","",X31-Z32)</f>
        <v>0</v>
      </c>
      <c r="AA33" s="26" t="s">
        <v>3</v>
      </c>
      <c r="AB33" s="27">
        <f>IF(AB32="","",AB31-AB32)</f>
        <v>5</v>
      </c>
      <c r="AC33" s="8"/>
      <c r="AD33" s="4"/>
      <c r="AE33" s="2"/>
      <c r="AF33" s="7"/>
      <c r="AG33" s="25">
        <f>IF(AG32="","",AE31-AG32)</f>
        <v>2</v>
      </c>
      <c r="AH33" s="26" t="s">
        <v>3</v>
      </c>
      <c r="AI33" s="27">
        <f>IF(AI32="","",AI31-AI32)</f>
        <v>0</v>
      </c>
      <c r="AJ33" s="8"/>
      <c r="AK33" s="4"/>
      <c r="AL33" s="2"/>
      <c r="AM33" s="7"/>
      <c r="AN33" s="25">
        <f>IF(AN32="","",AL31-AN32)</f>
      </c>
      <c r="AO33" s="26" t="s">
        <v>3</v>
      </c>
      <c r="AP33" s="27">
        <f>IF(AP32="","",AP31-AP32)</f>
      </c>
      <c r="AQ33" s="8"/>
      <c r="AR33" s="4"/>
      <c r="AS33" s="509"/>
      <c r="AT33" s="505"/>
      <c r="AU33" s="505"/>
      <c r="AV33" s="489"/>
      <c r="AW33" s="498"/>
      <c r="AX33" s="62"/>
      <c r="AY33" s="547"/>
      <c r="BA33" s="132"/>
      <c r="BB33" s="494"/>
    </row>
    <row r="34" spans="1:54" ht="11.25" customHeight="1">
      <c r="A34" s="553"/>
      <c r="B34" s="542"/>
      <c r="C34" s="66"/>
      <c r="D34" s="512" t="str">
        <f>IF(C35="","",R14)</f>
        <v>⑬</v>
      </c>
      <c r="E34" s="512"/>
      <c r="F34" s="513">
        <f>IF(C35="","",T14)</f>
        <v>41938</v>
      </c>
      <c r="G34" s="513"/>
      <c r="H34" s="513"/>
      <c r="I34" s="514"/>
      <c r="J34" s="66"/>
      <c r="K34" s="512" t="str">
        <f>IF(J35="","",R24)</f>
        <v>⑨</v>
      </c>
      <c r="L34" s="512"/>
      <c r="M34" s="513">
        <f>IF(J35="","",T24)</f>
        <v>41860</v>
      </c>
      <c r="N34" s="513"/>
      <c r="O34" s="513"/>
      <c r="P34" s="514"/>
      <c r="Q34" s="2"/>
      <c r="R34" s="3"/>
      <c r="S34" s="3"/>
      <c r="T34" s="3"/>
      <c r="U34" s="3"/>
      <c r="V34" s="3"/>
      <c r="W34" s="4"/>
      <c r="X34" s="95"/>
      <c r="Y34" s="512" t="str">
        <f>IF(COUNT(MATCH(VALUE($A26&amp;X$3&amp;2),'記入'!$A$7:$A$62,0))=0,"",INDEX('記入'!$A$7:$Q$62,MATCH(VALUE($A26&amp;X$3&amp;2),'記入'!$A$7:$A$62,0),3))</f>
        <v>⑧</v>
      </c>
      <c r="Z34" s="512"/>
      <c r="AA34" s="528">
        <f>IF(Y34="","",INDEX('記入'!$A$7:$Q$62,MATCH(VALUE($A26&amp;X$3&amp;2),'記入'!$A$7:$A$62,0),4))</f>
        <v>41847</v>
      </c>
      <c r="AB34" s="528"/>
      <c r="AC34" s="528"/>
      <c r="AD34" s="529"/>
      <c r="AE34" s="95"/>
      <c r="AF34" s="512" t="str">
        <f>IF(COUNT(MATCH(VALUE($A26&amp;AE$3&amp;2),'記入'!$A$7:$A$62,0))=0,"",INDEX('記入'!$A$7:$Q$62,MATCH(VALUE($A26&amp;AE$3&amp;2),'記入'!$A$7:$A$62,0),3))</f>
        <v>⑩</v>
      </c>
      <c r="AG34" s="512"/>
      <c r="AH34" s="528">
        <f>IF(AF34="","",INDEX('記入'!$A$7:$Q$62,MATCH(VALUE($A26&amp;AE$3&amp;2),'記入'!$A$7:$A$62,0),4))</f>
        <v>41895</v>
      </c>
      <c r="AI34" s="528"/>
      <c r="AJ34" s="528"/>
      <c r="AK34" s="529"/>
      <c r="AL34" s="95"/>
      <c r="AM34" s="512" t="str">
        <f>IF(COUNT(MATCH(VALUE($A26&amp;AL$3&amp;2),'記入'!$A$7:$A$62,0))=0,"",INDEX('記入'!$A$7:$Q$62,MATCH(VALUE($A26&amp;AL$3&amp;2),'記入'!$A$7:$A$62,0),3))</f>
        <v>⑪</v>
      </c>
      <c r="AN34" s="512"/>
      <c r="AO34" s="528">
        <f>IF(AM34="","",INDEX('記入'!$A$7:$Q$62,MATCH(VALUE($A26&amp;AL$3&amp;2),'記入'!$A$7:$A$62,0),4))</f>
        <v>41909</v>
      </c>
      <c r="AP34" s="528"/>
      <c r="AQ34" s="528"/>
      <c r="AR34" s="529"/>
      <c r="AS34" s="509"/>
      <c r="AT34" s="505"/>
      <c r="AU34" s="505"/>
      <c r="AV34" s="489"/>
      <c r="AW34" s="498"/>
      <c r="AX34" s="62"/>
      <c r="AY34" s="547"/>
      <c r="BA34" s="132"/>
      <c r="BB34" s="494"/>
    </row>
    <row r="35" spans="1:54" ht="11.25" customHeight="1">
      <c r="A35" s="553"/>
      <c r="B35" s="544"/>
      <c r="C35" s="515" t="str">
        <f>IF(Q15="","",Q15)</f>
        <v>松任公園Ｇ</v>
      </c>
      <c r="D35" s="516"/>
      <c r="E35" s="516"/>
      <c r="F35" s="516"/>
      <c r="G35" s="516"/>
      <c r="H35" s="516"/>
      <c r="I35" s="517"/>
      <c r="J35" s="515" t="str">
        <f>IF(Q25="","",Q25)</f>
        <v>松任中Ｇ</v>
      </c>
      <c r="K35" s="516"/>
      <c r="L35" s="516"/>
      <c r="M35" s="516"/>
      <c r="N35" s="516"/>
      <c r="O35" s="516"/>
      <c r="P35" s="517"/>
      <c r="Q35" s="2"/>
      <c r="R35" s="3"/>
      <c r="S35" s="3"/>
      <c r="T35" s="3"/>
      <c r="U35" s="3"/>
      <c r="V35" s="3"/>
      <c r="W35" s="4"/>
      <c r="X35" s="515" t="str">
        <f>IF(Y34="","",INDEX('記入'!$A$7:$Q$62,MATCH(VALUE($A26&amp;X$3&amp;2),'記入'!$A$7:$A$62,0),6))</f>
        <v>松任中Ｇ</v>
      </c>
      <c r="Y35" s="516"/>
      <c r="Z35" s="516"/>
      <c r="AA35" s="516"/>
      <c r="AB35" s="516"/>
      <c r="AC35" s="516"/>
      <c r="AD35" s="517"/>
      <c r="AE35" s="515" t="str">
        <f>IF(AF34="","",INDEX('記入'!$A$7:$Q$62,MATCH(VALUE($A26&amp;AE$3&amp;2),'記入'!$A$7:$A$62,0),6))</f>
        <v>野田中Ｇ</v>
      </c>
      <c r="AF35" s="516"/>
      <c r="AG35" s="516"/>
      <c r="AH35" s="516"/>
      <c r="AI35" s="516"/>
      <c r="AJ35" s="516"/>
      <c r="AK35" s="517"/>
      <c r="AL35" s="515" t="str">
        <f>IF(AM34="","",INDEX('記入'!$A$7:$Q$62,MATCH(VALUE($A26&amp;AL$3&amp;2),'記入'!$A$7:$A$62,0),6))</f>
        <v>金沢市営</v>
      </c>
      <c r="AM35" s="516"/>
      <c r="AN35" s="516"/>
      <c r="AO35" s="516"/>
      <c r="AP35" s="516"/>
      <c r="AQ35" s="516"/>
      <c r="AR35" s="517"/>
      <c r="AS35" s="510"/>
      <c r="AT35" s="506"/>
      <c r="AU35" s="506"/>
      <c r="AV35" s="507"/>
      <c r="AW35" s="500"/>
      <c r="AX35" s="62"/>
      <c r="AY35" s="548"/>
      <c r="BA35" s="132"/>
      <c r="BB35" s="495"/>
    </row>
    <row r="36" spans="1:54" ht="11.25" customHeight="1">
      <c r="A36" s="553">
        <v>4</v>
      </c>
      <c r="B36" s="541" t="str">
        <f>IF(X5="","",X5)</f>
        <v>FC.SOUTHERN</v>
      </c>
      <c r="C36" s="520">
        <f>IF(E38="","",E37+E38)</f>
        <v>7</v>
      </c>
      <c r="D36" s="518"/>
      <c r="E36" s="518"/>
      <c r="F36" s="11" t="str">
        <f>IF(E38="","",IF(C36=G36,"△",IF(C36&gt;G36,"○","●")))</f>
        <v>○</v>
      </c>
      <c r="G36" s="518">
        <f>IF(G38="","",G37+G38)</f>
        <v>0</v>
      </c>
      <c r="H36" s="518"/>
      <c r="I36" s="519"/>
      <c r="J36" s="520">
        <f>IF(L38="","",L37+L38)</f>
        <v>4</v>
      </c>
      <c r="K36" s="518"/>
      <c r="L36" s="518"/>
      <c r="M36" s="11" t="str">
        <f>IF(L38="","",IF(J36=N36,"△",IF(J36&gt;N36,"○","●")))</f>
        <v>○</v>
      </c>
      <c r="N36" s="518">
        <f>IF(N38="","",N37+N38)</f>
        <v>2</v>
      </c>
      <c r="O36" s="518"/>
      <c r="P36" s="519"/>
      <c r="Q36" s="520">
        <f>IF(S38="","",S37+S38)</f>
        <v>12</v>
      </c>
      <c r="R36" s="518"/>
      <c r="S36" s="518"/>
      <c r="T36" s="11" t="str">
        <f>IF(S38="","",IF(Q36=U36,"△",IF(Q36&gt;U36,"○","●")))</f>
        <v>○</v>
      </c>
      <c r="U36" s="518">
        <f>IF(U38="","",U37+U38)</f>
        <v>0</v>
      </c>
      <c r="V36" s="518"/>
      <c r="W36" s="519"/>
      <c r="X36" s="5"/>
      <c r="Y36" s="100"/>
      <c r="Z36" s="100"/>
      <c r="AA36" s="100"/>
      <c r="AB36" s="100"/>
      <c r="AC36" s="100"/>
      <c r="AD36" s="6"/>
      <c r="AE36" s="530">
        <f>IF(AG37="","",INDEX('記入'!$A$7:$Q$62,MATCH(VALUE($A36&amp;AE$3&amp;1),'記入'!$A$7:$A$62,0),9))</f>
        <v>9</v>
      </c>
      <c r="AF36" s="526"/>
      <c r="AG36" s="526"/>
      <c r="AH36" s="1" t="str">
        <f>IF(AG38="","",IF(AE36=AI36,"△",IF(AE36&gt;AI36,"○","●")))</f>
        <v>○</v>
      </c>
      <c r="AI36" s="526">
        <f>IF(AG37="","",INDEX('記入'!$A$7:$Q$62,MATCH(VALUE($A36&amp;AE$3&amp;1),'記入'!$A$7:$A$62,0),15))</f>
        <v>0</v>
      </c>
      <c r="AJ36" s="526"/>
      <c r="AK36" s="527"/>
      <c r="AL36" s="530">
        <f>IF(AN37="","",INDEX('記入'!$A$7:$Q$62,MATCH(VALUE($A36&amp;AL$3&amp;1),'記入'!$A$7:$A$62,0),9))</f>
        <v>0</v>
      </c>
      <c r="AM36" s="526"/>
      <c r="AN36" s="526"/>
      <c r="AO36" s="1" t="str">
        <f>IF(AN38="","",IF(AL36=AP36,"△",IF(AL36&gt;AP36,"○","●")))</f>
        <v>●</v>
      </c>
      <c r="AP36" s="526">
        <f>IF(AN37="","",INDEX('記入'!$A$7:$Q$62,MATCH(VALUE($A36&amp;AL$3&amp;1),'記入'!$A$7:$A$62,0),15))</f>
        <v>2</v>
      </c>
      <c r="AQ36" s="526"/>
      <c r="AR36" s="527"/>
      <c r="AS36" s="508">
        <f>IF(COUNT(C37:AR37)=0,"",COUNTIF(AA$6:AA$65,"●")*3+COUNTIF(AA$6:AA$65,"△"))</f>
        <v>18</v>
      </c>
      <c r="AT36" s="504">
        <f>IF(AS36="","",SUM(AB$6:AB$65)/2)</f>
        <v>41</v>
      </c>
      <c r="AU36" s="504">
        <f>IF(AS36="","",SUM(X$6:X$65))</f>
        <v>4</v>
      </c>
      <c r="AV36" s="488">
        <f>IF(AS36="","",AT36-AU36)</f>
        <v>37</v>
      </c>
      <c r="AW36" s="499">
        <f>IF(AS36="","",RANK(AX36,AX$6:AX$65))</f>
        <v>1</v>
      </c>
      <c r="AX36" s="62">
        <f>IF(AS36="",-ROW()*10000,AS36*10000+AV36*100+AT36+COUNTIF(C36:AR36,"&gt;=0")/20)</f>
        <v>183741.5</v>
      </c>
      <c r="AY36" s="546">
        <f>RANK(AX36,AX$6:AX$65)</f>
        <v>1</v>
      </c>
      <c r="AZ36" s="1">
        <v>31</v>
      </c>
      <c r="BA36" s="133">
        <f>IF(AS36="",-ROW()*10000,AS36*10000+AV36*100+AT36+COUNTIF(C36:AR36,"&gt;=0")/20-ROW()/1000)</f>
        <v>183741.464</v>
      </c>
      <c r="BB36" s="496">
        <f>RANK(BA36,BA$6:BA$65)</f>
        <v>1</v>
      </c>
    </row>
    <row r="37" spans="1:54" ht="10.5" customHeight="1">
      <c r="A37" s="553"/>
      <c r="B37" s="542"/>
      <c r="C37" s="2"/>
      <c r="D37" s="5"/>
      <c r="E37" s="17">
        <f>IF(AB7="","",AB7)</f>
        <v>3</v>
      </c>
      <c r="F37" s="3" t="s">
        <v>3</v>
      </c>
      <c r="G37" s="18">
        <f>IF(Z7="","",Z7)</f>
        <v>0</v>
      </c>
      <c r="H37" s="6"/>
      <c r="I37" s="4"/>
      <c r="J37" s="2"/>
      <c r="K37" s="5"/>
      <c r="L37" s="17">
        <f>IF(AB17="","",AB17)</f>
        <v>0</v>
      </c>
      <c r="M37" s="3" t="s">
        <v>3</v>
      </c>
      <c r="N37" s="18">
        <f>IF(Z17="","",Z17)</f>
        <v>1</v>
      </c>
      <c r="O37" s="6"/>
      <c r="P37" s="4"/>
      <c r="Q37" s="2"/>
      <c r="R37" s="5"/>
      <c r="S37" s="17">
        <f>IF(AB27="","",AB27)</f>
        <v>7</v>
      </c>
      <c r="T37" s="3" t="s">
        <v>3</v>
      </c>
      <c r="U37" s="18">
        <f>IF(Z27="","",Z27)</f>
        <v>0</v>
      </c>
      <c r="V37" s="6"/>
      <c r="W37" s="4"/>
      <c r="X37" s="2"/>
      <c r="Y37" s="3"/>
      <c r="Z37" s="3"/>
      <c r="AA37" s="3"/>
      <c r="AB37" s="3"/>
      <c r="AC37" s="3"/>
      <c r="AD37" s="4"/>
      <c r="AE37" s="2"/>
      <c r="AF37" s="5"/>
      <c r="AG37" s="25">
        <f>IF(AF39="","",IF(INDEX('記入'!$A$7:$Q$62,MATCH(VALUE($A36&amp;AE$3&amp;1),'記入'!$A$7:$A$62,0),11)="","",INDEX('記入'!$A$7:$Q$62,MATCH(VALUE($A36&amp;AE$3&amp;1),'記入'!$A$7:$A$62,0),11)))</f>
        <v>6</v>
      </c>
      <c r="AH37" s="26" t="s">
        <v>3</v>
      </c>
      <c r="AI37" s="27">
        <f>IF(AG37="","",INDEX('記入'!$A$7:$Q$62,MATCH(VALUE($A36&amp;AE$3&amp;1),'記入'!$A$7:$A$62,0),13))</f>
        <v>0</v>
      </c>
      <c r="AJ37" s="6"/>
      <c r="AK37" s="4"/>
      <c r="AL37" s="2"/>
      <c r="AM37" s="5"/>
      <c r="AN37" s="25">
        <f>IF(AM39="","",IF(INDEX('記入'!$A$7:$Q$62,MATCH(VALUE($A36&amp;AL$3&amp;1),'記入'!$A$7:$A$62,0),11)="","",INDEX('記入'!$A$7:$Q$62,MATCH(VALUE($A36&amp;AL$3&amp;1),'記入'!$A$7:$A$62,0),11)))</f>
        <v>0</v>
      </c>
      <c r="AO37" s="26" t="s">
        <v>3</v>
      </c>
      <c r="AP37" s="27">
        <f>IF(AN37="","",INDEX('記入'!$A$7:$Q$62,MATCH(VALUE($A36&amp;AL$3&amp;1),'記入'!$A$7:$A$62,0),13))</f>
        <v>2</v>
      </c>
      <c r="AQ37" s="6"/>
      <c r="AR37" s="4"/>
      <c r="AS37" s="509"/>
      <c r="AT37" s="505"/>
      <c r="AU37" s="505"/>
      <c r="AV37" s="489"/>
      <c r="AW37" s="498"/>
      <c r="AX37" s="62"/>
      <c r="AY37" s="547"/>
      <c r="BA37" s="132"/>
      <c r="BB37" s="494"/>
    </row>
    <row r="38" spans="1:54" ht="10.5" customHeight="1">
      <c r="A38" s="553"/>
      <c r="B38" s="542"/>
      <c r="C38" s="2"/>
      <c r="D38" s="7"/>
      <c r="E38" s="17">
        <f>IF(AB8="","",AB8)</f>
        <v>4</v>
      </c>
      <c r="F38" s="3" t="s">
        <v>3</v>
      </c>
      <c r="G38" s="18">
        <f>IF(Z8="","",Z8)</f>
        <v>0</v>
      </c>
      <c r="H38" s="8"/>
      <c r="I38" s="4"/>
      <c r="J38" s="2"/>
      <c r="K38" s="7"/>
      <c r="L38" s="17">
        <f>IF(AB18="","",AB18)</f>
        <v>4</v>
      </c>
      <c r="M38" s="3" t="s">
        <v>3</v>
      </c>
      <c r="N38" s="18">
        <f>IF(Z18="","",Z18)</f>
        <v>1</v>
      </c>
      <c r="O38" s="8"/>
      <c r="P38" s="4"/>
      <c r="Q38" s="2"/>
      <c r="R38" s="7"/>
      <c r="S38" s="17">
        <f>IF(AB28="","",AB28)</f>
        <v>5</v>
      </c>
      <c r="T38" s="3" t="s">
        <v>3</v>
      </c>
      <c r="U38" s="18">
        <f>IF(Z28="","",Z28)</f>
        <v>0</v>
      </c>
      <c r="V38" s="8"/>
      <c r="W38" s="4"/>
      <c r="X38" s="2"/>
      <c r="Y38" s="3"/>
      <c r="Z38" s="3"/>
      <c r="AA38" s="3"/>
      <c r="AB38" s="3"/>
      <c r="AC38" s="3"/>
      <c r="AD38" s="4"/>
      <c r="AE38" s="2"/>
      <c r="AF38" s="7"/>
      <c r="AG38" s="25">
        <f>IF(AG37="","",AE36-AG37)</f>
        <v>3</v>
      </c>
      <c r="AH38" s="26" t="s">
        <v>3</v>
      </c>
      <c r="AI38" s="27">
        <f>IF(AI37="","",AI36-AI37)</f>
        <v>0</v>
      </c>
      <c r="AJ38" s="8"/>
      <c r="AK38" s="4"/>
      <c r="AL38" s="2"/>
      <c r="AM38" s="7"/>
      <c r="AN38" s="25">
        <f>IF(AN37="","",AL36-AN37)</f>
        <v>0</v>
      </c>
      <c r="AO38" s="26" t="s">
        <v>3</v>
      </c>
      <c r="AP38" s="27">
        <f>IF(AP37="","",AP36-AP37)</f>
        <v>0</v>
      </c>
      <c r="AQ38" s="8"/>
      <c r="AR38" s="4"/>
      <c r="AS38" s="509"/>
      <c r="AT38" s="505"/>
      <c r="AU38" s="505"/>
      <c r="AV38" s="489"/>
      <c r="AW38" s="498"/>
      <c r="AX38" s="62"/>
      <c r="AY38" s="547"/>
      <c r="BA38" s="132"/>
      <c r="BB38" s="494"/>
    </row>
    <row r="39" spans="1:54" ht="11.25" customHeight="1">
      <c r="A39" s="553"/>
      <c r="B39" s="542"/>
      <c r="C39" s="66"/>
      <c r="D39" s="512" t="str">
        <f>IF(C40="","",Y9)</f>
        <v>⑤</v>
      </c>
      <c r="E39" s="512"/>
      <c r="F39" s="513">
        <f>IF(C40="","",AA9)</f>
        <v>41797</v>
      </c>
      <c r="G39" s="513"/>
      <c r="H39" s="513"/>
      <c r="I39" s="514"/>
      <c r="J39" s="66"/>
      <c r="K39" s="512" t="str">
        <f>IF(J40="","",Y19)</f>
        <v>⑤</v>
      </c>
      <c r="L39" s="512"/>
      <c r="M39" s="513">
        <f>IF(J40="","",AA19)</f>
        <v>41790</v>
      </c>
      <c r="N39" s="513"/>
      <c r="O39" s="513"/>
      <c r="P39" s="514"/>
      <c r="Q39" s="66"/>
      <c r="R39" s="512" t="str">
        <f>IF(Q40="","",Y29)</f>
        <v>④</v>
      </c>
      <c r="S39" s="512"/>
      <c r="T39" s="513">
        <f>IF(Q40="","",AA29)</f>
        <v>41784</v>
      </c>
      <c r="U39" s="513"/>
      <c r="V39" s="513"/>
      <c r="W39" s="514"/>
      <c r="X39" s="2"/>
      <c r="Y39" s="3"/>
      <c r="Z39" s="3"/>
      <c r="AA39" s="3"/>
      <c r="AB39" s="3"/>
      <c r="AC39" s="3"/>
      <c r="AD39" s="4"/>
      <c r="AE39" s="95"/>
      <c r="AF39" s="512" t="str">
        <f>IF(COUNT(MATCH(VALUE($A36&amp;AE$3&amp;1),'記入'!$A$7:$A$62,0))=0,"",INDEX('記入'!$A$7:$Q$62,MATCH(VALUE($A36&amp;AE$3&amp;1),'記入'!$A$7:$A$62,0),3))</f>
        <v>⑤</v>
      </c>
      <c r="AG39" s="512"/>
      <c r="AH39" s="528">
        <f>IF(AF39="","",INDEX('記入'!$A$7:$Q$62,MATCH(VALUE($A36&amp;AE$3&amp;1),'記入'!$A$7:$A$62,0),4))</f>
        <v>41791</v>
      </c>
      <c r="AI39" s="528"/>
      <c r="AJ39" s="528"/>
      <c r="AK39" s="529"/>
      <c r="AL39" s="95"/>
      <c r="AM39" s="512" t="str">
        <f>IF(COUNT(MATCH(VALUE($A36&amp;AL$3&amp;1),'記入'!$A$7:$A$62,0))=0,"",INDEX('記入'!$A$7:$Q$62,MATCH(VALUE($A36&amp;AL$3&amp;1),'記入'!$A$7:$A$62,0),3))</f>
        <v>⑥</v>
      </c>
      <c r="AN39" s="512"/>
      <c r="AO39" s="528">
        <f>IF(AM39="","",INDEX('記入'!$A$7:$Q$62,MATCH(VALUE($A36&amp;AL$3&amp;1),'記入'!$A$7:$A$62,0),4))</f>
        <v>41818</v>
      </c>
      <c r="AP39" s="528"/>
      <c r="AQ39" s="528"/>
      <c r="AR39" s="529"/>
      <c r="AS39" s="509"/>
      <c r="AT39" s="505"/>
      <c r="AU39" s="505"/>
      <c r="AV39" s="489"/>
      <c r="AW39" s="498"/>
      <c r="AX39" s="62"/>
      <c r="AY39" s="547"/>
      <c r="BA39" s="132"/>
      <c r="BB39" s="494"/>
    </row>
    <row r="40" spans="1:54" ht="11.25" customHeight="1">
      <c r="A40" s="553"/>
      <c r="B40" s="542"/>
      <c r="C40" s="515" t="str">
        <f>IF(X10="","",X10)</f>
        <v>高岡中Ｇ</v>
      </c>
      <c r="D40" s="516"/>
      <c r="E40" s="516"/>
      <c r="F40" s="516"/>
      <c r="G40" s="516"/>
      <c r="H40" s="516"/>
      <c r="I40" s="517"/>
      <c r="J40" s="515" t="str">
        <f>IF(X20="","",X20)</f>
        <v>ドーム</v>
      </c>
      <c r="K40" s="516"/>
      <c r="L40" s="516"/>
      <c r="M40" s="516"/>
      <c r="N40" s="516"/>
      <c r="O40" s="516"/>
      <c r="P40" s="517"/>
      <c r="Q40" s="515" t="str">
        <f>IF(X30="","",X30)</f>
        <v>ドーム</v>
      </c>
      <c r="R40" s="516"/>
      <c r="S40" s="516"/>
      <c r="T40" s="516"/>
      <c r="U40" s="516"/>
      <c r="V40" s="516"/>
      <c r="W40" s="517"/>
      <c r="X40" s="2"/>
      <c r="Y40" s="3"/>
      <c r="Z40" s="3"/>
      <c r="AA40" s="3"/>
      <c r="AB40" s="3"/>
      <c r="AC40" s="3"/>
      <c r="AD40" s="4"/>
      <c r="AE40" s="531" t="str">
        <f>IF(AF39="","",INDEX('記入'!$A$7:$Q$62,MATCH(VALUE($A36&amp;AE$3&amp;1),'記入'!$A$7:$A$62,0),6))</f>
        <v>松任中Ｇ</v>
      </c>
      <c r="AF40" s="512"/>
      <c r="AG40" s="512"/>
      <c r="AH40" s="512"/>
      <c r="AI40" s="512"/>
      <c r="AJ40" s="512"/>
      <c r="AK40" s="532"/>
      <c r="AL40" s="531" t="str">
        <f>IF(AM39="","",INDEX('記入'!$A$7:$Q$62,MATCH(VALUE($A36&amp;AL$3&amp;1),'記入'!$A$7:$A$62,0),6))</f>
        <v>北部公園Ｇ</v>
      </c>
      <c r="AM40" s="512"/>
      <c r="AN40" s="512"/>
      <c r="AO40" s="512"/>
      <c r="AP40" s="512"/>
      <c r="AQ40" s="512"/>
      <c r="AR40" s="532"/>
      <c r="AS40" s="509"/>
      <c r="AT40" s="505"/>
      <c r="AU40" s="505"/>
      <c r="AV40" s="489"/>
      <c r="AW40" s="498"/>
      <c r="AX40" s="62"/>
      <c r="AY40" s="547"/>
      <c r="BA40" s="132"/>
      <c r="BB40" s="494"/>
    </row>
    <row r="41" spans="1:54" ht="11.25" customHeight="1">
      <c r="A41" s="553"/>
      <c r="B41" s="542"/>
      <c r="C41" s="520">
        <f>IF(E43="","",E42+E43)</f>
        <v>3</v>
      </c>
      <c r="D41" s="518"/>
      <c r="E41" s="518"/>
      <c r="F41" s="11" t="str">
        <f>IF(E43="","",IF(C41=G41,"△",IF(C41&gt;G41,"○","●")))</f>
        <v>○</v>
      </c>
      <c r="G41" s="518">
        <f>IF(G43="","",G42+G43)</f>
        <v>0</v>
      </c>
      <c r="H41" s="518"/>
      <c r="I41" s="519"/>
      <c r="J41" s="520">
        <f>IF(L43="","",L42+L43)</f>
      </c>
      <c r="K41" s="518"/>
      <c r="L41" s="518"/>
      <c r="M41" s="11">
        <f>IF(L43="","",IF(J41=N41,"△",IF(J41&gt;N41,"○","●")))</f>
      </c>
      <c r="N41" s="518">
        <f>IF(N43="","",N42+N43)</f>
      </c>
      <c r="O41" s="518"/>
      <c r="P41" s="519"/>
      <c r="Q41" s="520">
        <f>IF(S43="","",S42+S43)</f>
        <v>6</v>
      </c>
      <c r="R41" s="518"/>
      <c r="S41" s="518"/>
      <c r="T41" s="11" t="str">
        <f>IF(S43="","",IF(Q41=U41,"△",IF(Q41&gt;U41,"○","●")))</f>
        <v>○</v>
      </c>
      <c r="U41" s="518">
        <f>IF(U43="","",U42+U43)</f>
        <v>0</v>
      </c>
      <c r="V41" s="518"/>
      <c r="W41" s="519"/>
      <c r="X41" s="2"/>
      <c r="Y41" s="3"/>
      <c r="Z41" s="3"/>
      <c r="AA41" s="3"/>
      <c r="AB41" s="3"/>
      <c r="AC41" s="3"/>
      <c r="AD41" s="4"/>
      <c r="AE41" s="520">
        <f>IF(AG42="","",INDEX('記入'!$A$7:$Q$62,MATCH(VALUE($A36&amp;AE$3&amp;2),'記入'!$A$7:$A$62,0),9))</f>
      </c>
      <c r="AF41" s="518"/>
      <c r="AG41" s="518"/>
      <c r="AH41" s="11">
        <f>IF(AG43="","",IF(AE41=AI41,"△",IF(AE41&gt;AI41,"○","●")))</f>
      </c>
      <c r="AI41" s="518">
        <f>IF(AG42="","",INDEX('記入'!$A$7:$Q$62,MATCH(VALUE($A36&amp;AE$3&amp;2),'記入'!$A$7:$A$62,0),15))</f>
      </c>
      <c r="AJ41" s="518"/>
      <c r="AK41" s="519"/>
      <c r="AL41" s="520">
        <f>IF(AN42="","",INDEX('記入'!$A$7:$Q$62,MATCH(VALUE($A36&amp;AL$3&amp;2),'記入'!$A$7:$A$62,0),9))</f>
      </c>
      <c r="AM41" s="518"/>
      <c r="AN41" s="518"/>
      <c r="AO41" s="11">
        <f>IF(AN43="","",IF(AL41=AP41,"△",IF(AL41&gt;AP41,"○","●")))</f>
      </c>
      <c r="AP41" s="518">
        <f>IF(AN42="","",INDEX('記入'!$A$7:$Q$62,MATCH(VALUE($A36&amp;AL$3&amp;2),'記入'!$A$7:$A$62,0),15))</f>
      </c>
      <c r="AQ41" s="518"/>
      <c r="AR41" s="519"/>
      <c r="AS41" s="509"/>
      <c r="AT41" s="505"/>
      <c r="AU41" s="505"/>
      <c r="AV41" s="489"/>
      <c r="AW41" s="498"/>
      <c r="AX41" s="62"/>
      <c r="AY41" s="547"/>
      <c r="BA41" s="132"/>
      <c r="BB41" s="494"/>
    </row>
    <row r="42" spans="1:54" ht="11.25" customHeight="1">
      <c r="A42" s="553"/>
      <c r="B42" s="542"/>
      <c r="C42" s="2"/>
      <c r="D42" s="5"/>
      <c r="E42" s="17">
        <f>IF(AB12="","",AB12)</f>
        <v>2</v>
      </c>
      <c r="F42" s="3" t="s">
        <v>3</v>
      </c>
      <c r="G42" s="18">
        <f>IF(Z12="","",Z12)</f>
        <v>0</v>
      </c>
      <c r="H42" s="6"/>
      <c r="I42" s="4"/>
      <c r="J42" s="2"/>
      <c r="K42" s="5"/>
      <c r="L42" s="17">
        <f>IF(AB22="","",AB22)</f>
      </c>
      <c r="M42" s="3" t="s">
        <v>3</v>
      </c>
      <c r="N42" s="18">
        <f>IF(Z22="","",Z22)</f>
      </c>
      <c r="O42" s="6"/>
      <c r="P42" s="4"/>
      <c r="Q42" s="2"/>
      <c r="R42" s="5"/>
      <c r="S42" s="17">
        <f>IF(AB32="","",AB32)</f>
        <v>1</v>
      </c>
      <c r="T42" s="3" t="s">
        <v>3</v>
      </c>
      <c r="U42" s="18">
        <f>IF(Z32="","",Z32)</f>
        <v>0</v>
      </c>
      <c r="V42" s="6"/>
      <c r="W42" s="4"/>
      <c r="X42" s="2"/>
      <c r="Y42" s="3"/>
      <c r="Z42" s="3"/>
      <c r="AA42" s="3"/>
      <c r="AB42" s="3"/>
      <c r="AC42" s="3"/>
      <c r="AD42" s="4"/>
      <c r="AE42" s="2"/>
      <c r="AF42" s="5"/>
      <c r="AG42" s="25">
        <f>IF(AF44="","",IF(INDEX('記入'!$A$7:$Q$62,MATCH(VALUE($A36&amp;AE$3&amp;2),'記入'!$A$7:$A$62,0),11)="","",INDEX('記入'!$A$7:$Q$62,MATCH(VALUE($A36&amp;AE$3&amp;2),'記入'!$A$7:$A$62,0),11)))</f>
      </c>
      <c r="AH42" s="26" t="s">
        <v>3</v>
      </c>
      <c r="AI42" s="27">
        <f>IF(AG42="","",INDEX('記入'!$A$7:$Q$62,MATCH(VALUE($A36&amp;AE$3&amp;2),'記入'!$A$7:$A$62,0),13))</f>
      </c>
      <c r="AJ42" s="6"/>
      <c r="AK42" s="4"/>
      <c r="AL42" s="2"/>
      <c r="AM42" s="5"/>
      <c r="AN42" s="25">
        <f>IF(AM44="","",IF(INDEX('記入'!$A$7:$Q$62,MATCH(VALUE($A36&amp;AL$3&amp;2),'記入'!$A$7:$A$62,0),11)="","",INDEX('記入'!$A$7:$Q$62,MATCH(VALUE($A36&amp;AL$3&amp;2),'記入'!$A$7:$A$62,0),11)))</f>
      </c>
      <c r="AO42" s="26" t="s">
        <v>3</v>
      </c>
      <c r="AP42" s="27">
        <f>IF(AN42="","",INDEX('記入'!$A$7:$Q$62,MATCH(VALUE($A36&amp;AL$3&amp;2),'記入'!$A$7:$A$62,0),13))</f>
      </c>
      <c r="AQ42" s="6"/>
      <c r="AR42" s="4"/>
      <c r="AS42" s="509"/>
      <c r="AT42" s="505"/>
      <c r="AU42" s="505"/>
      <c r="AV42" s="489"/>
      <c r="AW42" s="498"/>
      <c r="AX42" s="62"/>
      <c r="AY42" s="547"/>
      <c r="BA42" s="132"/>
      <c r="BB42" s="494"/>
    </row>
    <row r="43" spans="1:54" ht="11.25" customHeight="1">
      <c r="A43" s="553"/>
      <c r="B43" s="542"/>
      <c r="C43" s="2"/>
      <c r="D43" s="7"/>
      <c r="E43" s="17">
        <f>IF(AB13="","",AB13)</f>
        <v>1</v>
      </c>
      <c r="F43" s="3" t="s">
        <v>3</v>
      </c>
      <c r="G43" s="18">
        <f>IF(Z13="","",Z13)</f>
        <v>0</v>
      </c>
      <c r="H43" s="8"/>
      <c r="I43" s="4"/>
      <c r="J43" s="2"/>
      <c r="K43" s="7"/>
      <c r="L43" s="17">
        <f>IF(AB23="","",AB23)</f>
      </c>
      <c r="M43" s="3" t="s">
        <v>3</v>
      </c>
      <c r="N43" s="18">
        <f>IF(Z23="","",Z23)</f>
      </c>
      <c r="O43" s="8"/>
      <c r="P43" s="4"/>
      <c r="Q43" s="2"/>
      <c r="R43" s="7"/>
      <c r="S43" s="17">
        <f>IF(AB33="","",AB33)</f>
        <v>5</v>
      </c>
      <c r="T43" s="3" t="s">
        <v>3</v>
      </c>
      <c r="U43" s="18">
        <f>IF(Z33="","",Z33)</f>
        <v>0</v>
      </c>
      <c r="V43" s="8"/>
      <c r="W43" s="4"/>
      <c r="X43" s="2"/>
      <c r="Y43" s="3"/>
      <c r="Z43" s="3"/>
      <c r="AA43" s="3"/>
      <c r="AB43" s="3"/>
      <c r="AC43" s="3"/>
      <c r="AD43" s="4"/>
      <c r="AE43" s="2"/>
      <c r="AF43" s="7"/>
      <c r="AG43" s="25">
        <f>IF(AG42="","",AE41-AG42)</f>
      </c>
      <c r="AH43" s="26" t="s">
        <v>3</v>
      </c>
      <c r="AI43" s="27">
        <f>IF(AI42="","",AI41-AI42)</f>
      </c>
      <c r="AJ43" s="8"/>
      <c r="AK43" s="4"/>
      <c r="AL43" s="2"/>
      <c r="AM43" s="7"/>
      <c r="AN43" s="25">
        <f>IF(AN42="","",AL41-AN42)</f>
      </c>
      <c r="AO43" s="26" t="s">
        <v>3</v>
      </c>
      <c r="AP43" s="27">
        <f>IF(AP42="","",AP41-AP42)</f>
      </c>
      <c r="AQ43" s="8"/>
      <c r="AR43" s="4"/>
      <c r="AS43" s="509"/>
      <c r="AT43" s="505"/>
      <c r="AU43" s="505"/>
      <c r="AV43" s="489"/>
      <c r="AW43" s="498"/>
      <c r="AX43" s="62"/>
      <c r="AY43" s="547"/>
      <c r="BA43" s="132"/>
      <c r="BB43" s="494"/>
    </row>
    <row r="44" spans="1:54" ht="11.25" customHeight="1">
      <c r="A44" s="553"/>
      <c r="B44" s="542"/>
      <c r="C44" s="66"/>
      <c r="D44" s="512" t="str">
        <f>IF(C45="","",Y14)</f>
        <v>⑨</v>
      </c>
      <c r="E44" s="512"/>
      <c r="F44" s="513">
        <f>IF(C45="","",AA14)</f>
        <v>41860</v>
      </c>
      <c r="G44" s="513"/>
      <c r="H44" s="513"/>
      <c r="I44" s="514"/>
      <c r="J44" s="66"/>
      <c r="K44" s="512" t="str">
        <f>IF(J45="","",Y24)</f>
        <v>⑪</v>
      </c>
      <c r="L44" s="512"/>
      <c r="M44" s="513">
        <f>IF(J45="","",AA24)</f>
        <v>41909</v>
      </c>
      <c r="N44" s="513"/>
      <c r="O44" s="513"/>
      <c r="P44" s="514"/>
      <c r="Q44" s="66"/>
      <c r="R44" s="512" t="str">
        <f>IF(Q45="","",Y34)</f>
        <v>⑧</v>
      </c>
      <c r="S44" s="512"/>
      <c r="T44" s="513">
        <f>IF(Q45="","",AA34)</f>
        <v>41847</v>
      </c>
      <c r="U44" s="513"/>
      <c r="V44" s="513"/>
      <c r="W44" s="514"/>
      <c r="X44" s="2"/>
      <c r="Y44" s="3"/>
      <c r="Z44" s="3"/>
      <c r="AA44" s="3"/>
      <c r="AB44" s="3"/>
      <c r="AC44" s="3"/>
      <c r="AD44" s="4"/>
      <c r="AE44" s="95"/>
      <c r="AF44" s="512" t="str">
        <f>IF(COUNT(MATCH(VALUE($A36&amp;AE$3&amp;2),'記入'!$A$7:$A$62,0))=0,"",INDEX('記入'!$A$7:$Q$62,MATCH(VALUE($A36&amp;AE$3&amp;2),'記入'!$A$7:$A$62,0),3))</f>
        <v>⑬</v>
      </c>
      <c r="AG44" s="512"/>
      <c r="AH44" s="528">
        <f>IF(AF44="","",INDEX('記入'!$A$7:$Q$62,MATCH(VALUE($A36&amp;AE$3&amp;2),'記入'!$A$7:$A$62,0),4))</f>
        <v>41930</v>
      </c>
      <c r="AI44" s="528"/>
      <c r="AJ44" s="528"/>
      <c r="AK44" s="529"/>
      <c r="AL44" s="95"/>
      <c r="AM44" s="512" t="str">
        <f>IF(COUNT(MATCH(VALUE($A36&amp;AL$3&amp;2),'記入'!$A$7:$A$62,0))=0,"",INDEX('記入'!$A$7:$Q$62,MATCH(VALUE($A36&amp;AL$3&amp;2),'記入'!$A$7:$A$62,0),3))</f>
        <v>⑫</v>
      </c>
      <c r="AN44" s="512"/>
      <c r="AO44" s="528">
        <f>IF(AM44="","",INDEX('記入'!$A$7:$Q$62,MATCH(VALUE($A36&amp;AL$3&amp;2),'記入'!$A$7:$A$62,0),4))</f>
        <v>41916</v>
      </c>
      <c r="AP44" s="528"/>
      <c r="AQ44" s="528"/>
      <c r="AR44" s="529"/>
      <c r="AS44" s="509"/>
      <c r="AT44" s="505"/>
      <c r="AU44" s="505"/>
      <c r="AV44" s="489"/>
      <c r="AW44" s="498"/>
      <c r="AX44" s="62"/>
      <c r="AY44" s="547"/>
      <c r="BA44" s="132"/>
      <c r="BB44" s="494"/>
    </row>
    <row r="45" spans="1:54" ht="11.25" customHeight="1">
      <c r="A45" s="553"/>
      <c r="B45" s="544"/>
      <c r="C45" s="515" t="str">
        <f>IF(X15="","",X15)</f>
        <v>松任中Ｇ</v>
      </c>
      <c r="D45" s="516"/>
      <c r="E45" s="516"/>
      <c r="F45" s="516"/>
      <c r="G45" s="516"/>
      <c r="H45" s="516"/>
      <c r="I45" s="517"/>
      <c r="J45" s="515" t="str">
        <f>IF(X25="","",X25)</f>
        <v>能登島Ｂ</v>
      </c>
      <c r="K45" s="516"/>
      <c r="L45" s="516"/>
      <c r="M45" s="516"/>
      <c r="N45" s="516"/>
      <c r="O45" s="516"/>
      <c r="P45" s="517"/>
      <c r="Q45" s="515" t="str">
        <f>IF(X35="","",X35)</f>
        <v>松任中Ｇ</v>
      </c>
      <c r="R45" s="516"/>
      <c r="S45" s="516"/>
      <c r="T45" s="516"/>
      <c r="U45" s="516"/>
      <c r="V45" s="516"/>
      <c r="W45" s="517"/>
      <c r="X45" s="2"/>
      <c r="Y45" s="3"/>
      <c r="Z45" s="3"/>
      <c r="AA45" s="3"/>
      <c r="AB45" s="3"/>
      <c r="AC45" s="3"/>
      <c r="AD45" s="4"/>
      <c r="AE45" s="515" t="str">
        <f>IF(AF44="","",INDEX('記入'!$A$7:$Q$62,MATCH(VALUE($A36&amp;AE$3&amp;2),'記入'!$A$7:$A$62,0),6))</f>
        <v>松任中Ｇ</v>
      </c>
      <c r="AF45" s="516"/>
      <c r="AG45" s="516"/>
      <c r="AH45" s="516"/>
      <c r="AI45" s="516"/>
      <c r="AJ45" s="516"/>
      <c r="AK45" s="517"/>
      <c r="AL45" s="515" t="str">
        <f>IF(AM44="","",INDEX('記入'!$A$7:$Q$62,MATCH(VALUE($A36&amp;AL$3&amp;2),'記入'!$A$7:$A$62,0),6))</f>
        <v>松任公園Ｇ</v>
      </c>
      <c r="AM45" s="516"/>
      <c r="AN45" s="516"/>
      <c r="AO45" s="516"/>
      <c r="AP45" s="516"/>
      <c r="AQ45" s="516"/>
      <c r="AR45" s="517"/>
      <c r="AS45" s="510"/>
      <c r="AT45" s="506"/>
      <c r="AU45" s="506"/>
      <c r="AV45" s="507"/>
      <c r="AW45" s="500"/>
      <c r="AX45" s="62"/>
      <c r="AY45" s="548"/>
      <c r="BA45" s="132"/>
      <c r="BB45" s="495"/>
    </row>
    <row r="46" spans="1:54" ht="11.25" customHeight="1">
      <c r="A46" s="553">
        <v>5</v>
      </c>
      <c r="B46" s="541" t="str">
        <f>IF(AE5="","",AE5)</f>
        <v>根上中学校</v>
      </c>
      <c r="C46" s="520">
        <f>IF(E48="","",E47+E48)</f>
        <v>5</v>
      </c>
      <c r="D46" s="518"/>
      <c r="E46" s="518"/>
      <c r="F46" s="11" t="str">
        <f>IF(E48="","",IF(C46=G46,"△",IF(C46&gt;G46,"○","●")))</f>
        <v>○</v>
      </c>
      <c r="G46" s="518">
        <f>IF(G48="","",G47+G48)</f>
        <v>0</v>
      </c>
      <c r="H46" s="518"/>
      <c r="I46" s="519"/>
      <c r="J46" s="520">
        <f>IF(L48="","",L47+L48)</f>
        <v>0</v>
      </c>
      <c r="K46" s="518"/>
      <c r="L46" s="518"/>
      <c r="M46" s="11" t="str">
        <f>IF(L48="","",IF(J46=N46,"△",IF(J46&gt;N46,"○","●")))</f>
        <v>●</v>
      </c>
      <c r="N46" s="518">
        <f>IF(N48="","",N47+N48)</f>
        <v>10</v>
      </c>
      <c r="O46" s="518"/>
      <c r="P46" s="519"/>
      <c r="Q46" s="520">
        <f>IF(S48="","",S47+S48)</f>
        <v>7</v>
      </c>
      <c r="R46" s="518"/>
      <c r="S46" s="518"/>
      <c r="T46" s="11" t="str">
        <f>IF(S48="","",IF(Q46=U46,"△",IF(Q46&gt;U46,"○","●")))</f>
        <v>○</v>
      </c>
      <c r="U46" s="518">
        <f>IF(U48="","",U47+U48)</f>
        <v>0</v>
      </c>
      <c r="V46" s="518"/>
      <c r="W46" s="519"/>
      <c r="X46" s="520">
        <f>IF(Z48="","",Z47+Z48)</f>
        <v>0</v>
      </c>
      <c r="Y46" s="518"/>
      <c r="Z46" s="518"/>
      <c r="AA46" s="11" t="str">
        <f>IF(Z48="","",IF(X46=AB46,"△",IF(X46&gt;AB46,"○","●")))</f>
        <v>●</v>
      </c>
      <c r="AB46" s="518">
        <f>IF(AB48="","",AB47+AB48)</f>
        <v>9</v>
      </c>
      <c r="AC46" s="518"/>
      <c r="AD46" s="519"/>
      <c r="AE46" s="5"/>
      <c r="AF46" s="100"/>
      <c r="AG46" s="100"/>
      <c r="AH46" s="100"/>
      <c r="AI46" s="100"/>
      <c r="AJ46" s="100"/>
      <c r="AK46" s="6"/>
      <c r="AL46" s="530">
        <f>IF(AN47="","",INDEX('記入'!$A$7:$Q$62,MATCH(VALUE($A46&amp;AL$3&amp;1),'記入'!$A$7:$A$62,0),9))</f>
        <v>0</v>
      </c>
      <c r="AM46" s="526"/>
      <c r="AN46" s="526"/>
      <c r="AO46" s="1" t="str">
        <f>IF(AN48="","",IF(AL46=AP46,"△",IF(AL46&gt;AP46,"○","●")))</f>
        <v>●</v>
      </c>
      <c r="AP46" s="526">
        <f>IF(AN47="","",INDEX('記入'!$A$7:$Q$62,MATCH(VALUE($A46&amp;AL$3&amp;1),'記入'!$A$7:$A$62,0),15))</f>
        <v>4</v>
      </c>
      <c r="AQ46" s="526"/>
      <c r="AR46" s="527"/>
      <c r="AS46" s="508">
        <f>IF(COUNT(C47:AR47)=0,"",COUNTIF(AH$6:AH$65,"●")*3+COUNTIF(AH$6:AH$65,"△"))</f>
        <v>9</v>
      </c>
      <c r="AT46" s="504">
        <f>IF(AS46="","",SUM(AI$6:AI$65)/2)</f>
        <v>15</v>
      </c>
      <c r="AU46" s="504">
        <f>IF(AS46="","",SUM(AE$6:AE$65))</f>
        <v>28</v>
      </c>
      <c r="AV46" s="488">
        <f>IF(AS46="","",AT46-AU46)</f>
        <v>-13</v>
      </c>
      <c r="AW46" s="499">
        <f>IF(AS46="","",RANK(AX46,AX$6:AX$65))</f>
        <v>4</v>
      </c>
      <c r="AX46" s="62">
        <f>IF(AS46="",-ROW()*10000,AS46*10000+AV46*100+AT46+COUNTIF(C46:AR46,"&gt;=0")/20)</f>
        <v>88715.5</v>
      </c>
      <c r="AY46" s="546">
        <f>RANK(AX46,AX$6:AX$65)</f>
        <v>4</v>
      </c>
      <c r="AZ46" s="1">
        <v>41</v>
      </c>
      <c r="BA46" s="133">
        <f>IF(AS46="",-ROW()*10000,AS46*10000+AV46*100+AT46+COUNTIF(C46:AR46,"&gt;=0")/20-ROW()/1000)</f>
        <v>88715.454</v>
      </c>
      <c r="BB46" s="496">
        <f>RANK(BA46,BA$6:BA$65)</f>
        <v>4</v>
      </c>
    </row>
    <row r="47" spans="1:54" ht="10.5" customHeight="1">
      <c r="A47" s="553"/>
      <c r="B47" s="542"/>
      <c r="C47" s="2"/>
      <c r="D47" s="5"/>
      <c r="E47" s="17">
        <f>IF(AI7="","",AI7)</f>
        <v>1</v>
      </c>
      <c r="F47" s="3" t="s">
        <v>3</v>
      </c>
      <c r="G47" s="18">
        <f>IF(AG7="","",AG7)</f>
        <v>0</v>
      </c>
      <c r="H47" s="6"/>
      <c r="I47" s="4"/>
      <c r="J47" s="2"/>
      <c r="K47" s="5"/>
      <c r="L47" s="17">
        <f>IF(AI17="","",AI17)</f>
        <v>0</v>
      </c>
      <c r="M47" s="3" t="s">
        <v>3</v>
      </c>
      <c r="N47" s="18">
        <f>IF(AG17="","",AG17)</f>
        <v>7</v>
      </c>
      <c r="O47" s="6"/>
      <c r="P47" s="4"/>
      <c r="Q47" s="2"/>
      <c r="R47" s="5"/>
      <c r="S47" s="17">
        <f>IF(AI27="","",AI27)</f>
        <v>4</v>
      </c>
      <c r="T47" s="3" t="s">
        <v>3</v>
      </c>
      <c r="U47" s="18">
        <f>IF(AG27="","",AG27)</f>
        <v>0</v>
      </c>
      <c r="V47" s="6"/>
      <c r="W47" s="4"/>
      <c r="X47" s="2"/>
      <c r="Y47" s="5"/>
      <c r="Z47" s="17">
        <f>IF(AI37="","",AI37)</f>
        <v>0</v>
      </c>
      <c r="AA47" s="3" t="s">
        <v>3</v>
      </c>
      <c r="AB47" s="18">
        <f>IF(AG37="","",AG37)</f>
        <v>6</v>
      </c>
      <c r="AC47" s="6"/>
      <c r="AD47" s="4"/>
      <c r="AE47" s="2"/>
      <c r="AF47" s="3"/>
      <c r="AG47" s="3"/>
      <c r="AH47" s="3"/>
      <c r="AI47" s="3"/>
      <c r="AJ47" s="3"/>
      <c r="AK47" s="4"/>
      <c r="AL47" s="2"/>
      <c r="AM47" s="5"/>
      <c r="AN47" s="25">
        <f>IF(AM49="","",IF(INDEX('記入'!$A$7:$Q$62,MATCH(VALUE($A46&amp;AL$3&amp;1),'記入'!$A$7:$A$62,0),11)="","",INDEX('記入'!$A$7:$Q$62,MATCH(VALUE($A46&amp;AL$3&amp;1),'記入'!$A$7:$A$62,0),11)))</f>
        <v>0</v>
      </c>
      <c r="AO47" s="26" t="s">
        <v>3</v>
      </c>
      <c r="AP47" s="27">
        <f>IF(AN47="","",INDEX('記入'!$A$7:$Q$62,MATCH(VALUE($A46&amp;AL$3&amp;1),'記入'!$A$7:$A$62,0),13))</f>
        <v>3</v>
      </c>
      <c r="AQ47" s="6"/>
      <c r="AR47" s="4"/>
      <c r="AS47" s="509"/>
      <c r="AT47" s="505"/>
      <c r="AU47" s="505"/>
      <c r="AV47" s="489"/>
      <c r="AW47" s="498"/>
      <c r="AX47" s="62"/>
      <c r="AY47" s="547"/>
      <c r="BA47" s="132"/>
      <c r="BB47" s="494"/>
    </row>
    <row r="48" spans="1:54" ht="10.5" customHeight="1">
      <c r="A48" s="553"/>
      <c r="B48" s="542"/>
      <c r="C48" s="2"/>
      <c r="D48" s="7"/>
      <c r="E48" s="17">
        <f>IF(AI8="","",AI8)</f>
        <v>4</v>
      </c>
      <c r="F48" s="3" t="s">
        <v>3</v>
      </c>
      <c r="G48" s="18">
        <f>IF(AG8="","",AG8)</f>
        <v>0</v>
      </c>
      <c r="H48" s="8"/>
      <c r="I48" s="4"/>
      <c r="J48" s="2"/>
      <c r="K48" s="7"/>
      <c r="L48" s="17">
        <f>IF(AI18="","",AI18)</f>
        <v>0</v>
      </c>
      <c r="M48" s="3" t="s">
        <v>3</v>
      </c>
      <c r="N48" s="18">
        <f>IF(AG18="","",AG18)</f>
        <v>3</v>
      </c>
      <c r="O48" s="8"/>
      <c r="P48" s="4"/>
      <c r="Q48" s="2"/>
      <c r="R48" s="7"/>
      <c r="S48" s="17">
        <f>IF(AI28="","",AI28)</f>
        <v>3</v>
      </c>
      <c r="T48" s="3" t="s">
        <v>3</v>
      </c>
      <c r="U48" s="18">
        <f>IF(AG28="","",AG28)</f>
        <v>0</v>
      </c>
      <c r="V48" s="8"/>
      <c r="W48" s="4"/>
      <c r="X48" s="2"/>
      <c r="Y48" s="7"/>
      <c r="Z48" s="17">
        <f>IF(AI38="","",AI38)</f>
        <v>0</v>
      </c>
      <c r="AA48" s="3" t="s">
        <v>3</v>
      </c>
      <c r="AB48" s="18">
        <f>IF(AG38="","",AG38)</f>
        <v>3</v>
      </c>
      <c r="AC48" s="8"/>
      <c r="AD48" s="4"/>
      <c r="AE48" s="2"/>
      <c r="AF48" s="3"/>
      <c r="AG48" s="3"/>
      <c r="AH48" s="3"/>
      <c r="AI48" s="3"/>
      <c r="AJ48" s="3"/>
      <c r="AK48" s="4"/>
      <c r="AL48" s="2"/>
      <c r="AM48" s="7"/>
      <c r="AN48" s="25">
        <f>IF(AN47="","",AL46-AN47)</f>
        <v>0</v>
      </c>
      <c r="AO48" s="26" t="s">
        <v>3</v>
      </c>
      <c r="AP48" s="27">
        <f>IF(AP47="","",AP46-AP47)</f>
        <v>1</v>
      </c>
      <c r="AQ48" s="8"/>
      <c r="AR48" s="4"/>
      <c r="AS48" s="509"/>
      <c r="AT48" s="505"/>
      <c r="AU48" s="505"/>
      <c r="AV48" s="489"/>
      <c r="AW48" s="498"/>
      <c r="AX48" s="62"/>
      <c r="AY48" s="547"/>
      <c r="BA48" s="132"/>
      <c r="BB48" s="494"/>
    </row>
    <row r="49" spans="1:54" ht="11.25" customHeight="1">
      <c r="A49" s="553"/>
      <c r="B49" s="542"/>
      <c r="C49" s="66"/>
      <c r="D49" s="512" t="str">
        <f>IF(C50="","",AF9)</f>
        <v>⑤</v>
      </c>
      <c r="E49" s="512"/>
      <c r="F49" s="513">
        <f>IF(C50="","",AH9)</f>
        <v>41804</v>
      </c>
      <c r="G49" s="513"/>
      <c r="H49" s="513"/>
      <c r="I49" s="514"/>
      <c r="J49" s="66"/>
      <c r="K49" s="512" t="str">
        <f>IF(J50="","",AF19)</f>
        <v>④</v>
      </c>
      <c r="L49" s="512"/>
      <c r="M49" s="513">
        <f>IF(J50="","",AH19)</f>
        <v>41784</v>
      </c>
      <c r="N49" s="513"/>
      <c r="O49" s="513"/>
      <c r="P49" s="514"/>
      <c r="Q49" s="66"/>
      <c r="R49" s="512" t="str">
        <f>IF(Q50="","",AF29)</f>
        <v>④</v>
      </c>
      <c r="S49" s="512"/>
      <c r="T49" s="513">
        <f>IF(Q50="","",AH29)</f>
        <v>41783</v>
      </c>
      <c r="U49" s="513"/>
      <c r="V49" s="513"/>
      <c r="W49" s="514"/>
      <c r="X49" s="66"/>
      <c r="Y49" s="512" t="str">
        <f>IF(X50="","",AF39)</f>
        <v>⑤</v>
      </c>
      <c r="Z49" s="512"/>
      <c r="AA49" s="513">
        <f>IF(X50="","",AH39)</f>
        <v>41791</v>
      </c>
      <c r="AB49" s="513"/>
      <c r="AC49" s="513"/>
      <c r="AD49" s="514"/>
      <c r="AE49" s="2"/>
      <c r="AF49" s="3"/>
      <c r="AG49" s="3"/>
      <c r="AH49" s="3"/>
      <c r="AI49" s="3"/>
      <c r="AJ49" s="3"/>
      <c r="AK49" s="4"/>
      <c r="AL49" s="95"/>
      <c r="AM49" s="512" t="str">
        <f>IF(COUNT(MATCH(VALUE($A46&amp;AL$3&amp;1),'記入'!$A$7:$A$62,0))=0,"",INDEX('記入'!$A$7:$Q$62,MATCH(VALUE($A46&amp;AL$3&amp;1),'記入'!$A$7:$A$62,0),3))</f>
        <v>④</v>
      </c>
      <c r="AN49" s="512"/>
      <c r="AO49" s="528">
        <f>IF(AM49="","",INDEX('記入'!$A$7:$Q$62,MATCH(VALUE($A46&amp;AL$3&amp;1),'記入'!$A$7:$A$62,0),4))</f>
        <v>41783</v>
      </c>
      <c r="AP49" s="528"/>
      <c r="AQ49" s="528"/>
      <c r="AR49" s="529"/>
      <c r="AS49" s="509"/>
      <c r="AT49" s="505"/>
      <c r="AU49" s="505"/>
      <c r="AV49" s="489"/>
      <c r="AW49" s="498"/>
      <c r="AX49" s="62"/>
      <c r="AY49" s="547"/>
      <c r="BA49" s="132"/>
      <c r="BB49" s="494"/>
    </row>
    <row r="50" spans="1:54" ht="11.25" customHeight="1">
      <c r="A50" s="553"/>
      <c r="B50" s="542"/>
      <c r="C50" s="515" t="str">
        <f>IF(AE10="","",AE10)</f>
        <v>安原</v>
      </c>
      <c r="D50" s="516"/>
      <c r="E50" s="516"/>
      <c r="F50" s="516"/>
      <c r="G50" s="516"/>
      <c r="H50" s="516"/>
      <c r="I50" s="517"/>
      <c r="J50" s="515" t="str">
        <f>IF(AE20="","",AE20)</f>
        <v>ドーム</v>
      </c>
      <c r="K50" s="516"/>
      <c r="L50" s="516"/>
      <c r="M50" s="516"/>
      <c r="N50" s="516"/>
      <c r="O50" s="516"/>
      <c r="P50" s="517"/>
      <c r="Q50" s="515" t="str">
        <f>IF(AE30="","",AE30)</f>
        <v>ドーム</v>
      </c>
      <c r="R50" s="516"/>
      <c r="S50" s="516"/>
      <c r="T50" s="516"/>
      <c r="U50" s="516"/>
      <c r="V50" s="516"/>
      <c r="W50" s="517"/>
      <c r="X50" s="515" t="str">
        <f>IF(AE40="","",AE40)</f>
        <v>松任中Ｇ</v>
      </c>
      <c r="Y50" s="516"/>
      <c r="Z50" s="516"/>
      <c r="AA50" s="516"/>
      <c r="AB50" s="516"/>
      <c r="AC50" s="516"/>
      <c r="AD50" s="517"/>
      <c r="AE50" s="2"/>
      <c r="AF50" s="3"/>
      <c r="AG50" s="3"/>
      <c r="AH50" s="3"/>
      <c r="AI50" s="3"/>
      <c r="AJ50" s="3"/>
      <c r="AK50" s="4"/>
      <c r="AL50" s="531" t="str">
        <f>IF(AM49="","",INDEX('記入'!$A$7:$Q$62,MATCH(VALUE($A46&amp;AL$3&amp;1),'記入'!$A$7:$A$62,0),6))</f>
        <v>北星中Ｇ</v>
      </c>
      <c r="AM50" s="512"/>
      <c r="AN50" s="512"/>
      <c r="AO50" s="512"/>
      <c r="AP50" s="512"/>
      <c r="AQ50" s="512"/>
      <c r="AR50" s="532"/>
      <c r="AS50" s="509"/>
      <c r="AT50" s="505"/>
      <c r="AU50" s="505"/>
      <c r="AV50" s="489"/>
      <c r="AW50" s="498"/>
      <c r="AX50" s="62"/>
      <c r="AY50" s="547"/>
      <c r="BA50" s="132"/>
      <c r="BB50" s="494"/>
    </row>
    <row r="51" spans="1:54" ht="11.25" customHeight="1">
      <c r="A51" s="553"/>
      <c r="B51" s="542"/>
      <c r="C51" s="520">
        <f>IF(E53="","",E52+E53)</f>
        <v>3</v>
      </c>
      <c r="D51" s="518"/>
      <c r="E51" s="518"/>
      <c r="F51" s="11" t="str">
        <f>IF(E53="","",IF(C51=G51,"△",IF(C51&gt;G51,"○","●")))</f>
        <v>○</v>
      </c>
      <c r="G51" s="518">
        <f>IF(G53="","",G52+G53)</f>
        <v>0</v>
      </c>
      <c r="H51" s="518"/>
      <c r="I51" s="519"/>
      <c r="J51" s="520">
        <f>IF(L53="","",L52+L53)</f>
      </c>
      <c r="K51" s="518"/>
      <c r="L51" s="518"/>
      <c r="M51" s="11">
        <f>IF(L53="","",IF(J51=N51,"△",IF(J51&gt;N51,"○","●")))</f>
      </c>
      <c r="N51" s="518">
        <f>IF(N53="","",N52+N53)</f>
      </c>
      <c r="O51" s="518"/>
      <c r="P51" s="519"/>
      <c r="Q51" s="520">
        <f>IF(S53="","",S52+S53)</f>
        <v>0</v>
      </c>
      <c r="R51" s="518"/>
      <c r="S51" s="518"/>
      <c r="T51" s="11" t="str">
        <f>IF(S53="","",IF(Q51=U51,"△",IF(Q51&gt;U51,"○","●")))</f>
        <v>●</v>
      </c>
      <c r="U51" s="518">
        <f>IF(U53="","",U52+U53)</f>
        <v>2</v>
      </c>
      <c r="V51" s="518"/>
      <c r="W51" s="519"/>
      <c r="X51" s="520">
        <f>IF(Z53="","",Z52+Z53)</f>
      </c>
      <c r="Y51" s="518"/>
      <c r="Z51" s="518"/>
      <c r="AA51" s="11">
        <f>IF(Z53="","",IF(X51=AB51,"△",IF(X51&gt;AB51,"○","●")))</f>
      </c>
      <c r="AB51" s="518">
        <f>IF(AB53="","",AB52+AB53)</f>
      </c>
      <c r="AC51" s="518"/>
      <c r="AD51" s="519"/>
      <c r="AE51" s="2"/>
      <c r="AF51" s="3"/>
      <c r="AG51" s="3"/>
      <c r="AH51" s="3"/>
      <c r="AI51" s="3"/>
      <c r="AJ51" s="3"/>
      <c r="AK51" s="4"/>
      <c r="AL51" s="520">
        <f>IF(AN52="","",INDEX('記入'!$A$7:$Q$62,MATCH(VALUE($A46&amp;AL$3&amp;2),'記入'!$A$7:$A$62,0),9))</f>
        <v>0</v>
      </c>
      <c r="AM51" s="518"/>
      <c r="AN51" s="518"/>
      <c r="AO51" s="11" t="str">
        <f>IF(AN53="","",IF(AL51=AP51,"△",IF(AL51&gt;AP51,"○","●")))</f>
        <v>●</v>
      </c>
      <c r="AP51" s="518">
        <f>IF(AN52="","",INDEX('記入'!$A$7:$Q$62,MATCH(VALUE($A46&amp;AL$3&amp;2),'記入'!$A$7:$A$62,0),15))</f>
        <v>3</v>
      </c>
      <c r="AQ51" s="518"/>
      <c r="AR51" s="519"/>
      <c r="AS51" s="509"/>
      <c r="AT51" s="505"/>
      <c r="AU51" s="505"/>
      <c r="AV51" s="489"/>
      <c r="AW51" s="498"/>
      <c r="AX51" s="62"/>
      <c r="AY51" s="547"/>
      <c r="BA51" s="132"/>
      <c r="BB51" s="494"/>
    </row>
    <row r="52" spans="1:54" ht="11.25" customHeight="1">
      <c r="A52" s="553"/>
      <c r="B52" s="542"/>
      <c r="C52" s="2"/>
      <c r="D52" s="5"/>
      <c r="E52" s="17">
        <f>IF(AI12="","",AI12)</f>
        <v>1</v>
      </c>
      <c r="F52" s="3" t="s">
        <v>3</v>
      </c>
      <c r="G52" s="18">
        <f>IF(AG12="","",AG12)</f>
        <v>0</v>
      </c>
      <c r="H52" s="6"/>
      <c r="I52" s="4"/>
      <c r="J52" s="2"/>
      <c r="K52" s="5"/>
      <c r="L52" s="17">
        <f>IF(AI22="","",AI22)</f>
      </c>
      <c r="M52" s="3" t="s">
        <v>3</v>
      </c>
      <c r="N52" s="18">
        <f>IF(AG22="","",AG22)</f>
      </c>
      <c r="O52" s="6"/>
      <c r="P52" s="4"/>
      <c r="Q52" s="2"/>
      <c r="R52" s="5"/>
      <c r="S52" s="17">
        <f>IF(AI32="","",AI32)</f>
        <v>0</v>
      </c>
      <c r="T52" s="3" t="s">
        <v>3</v>
      </c>
      <c r="U52" s="18">
        <f>IF(AG32="","",AG32)</f>
        <v>0</v>
      </c>
      <c r="V52" s="6"/>
      <c r="W52" s="4"/>
      <c r="X52" s="2"/>
      <c r="Y52" s="5"/>
      <c r="Z52" s="17">
        <f>IF(AI42="","",AI42)</f>
      </c>
      <c r="AA52" s="3" t="s">
        <v>3</v>
      </c>
      <c r="AB52" s="18">
        <f>IF(AG42="","",AG42)</f>
      </c>
      <c r="AC52" s="6"/>
      <c r="AD52" s="4"/>
      <c r="AE52" s="2"/>
      <c r="AF52" s="3"/>
      <c r="AG52" s="3"/>
      <c r="AH52" s="3"/>
      <c r="AI52" s="3"/>
      <c r="AJ52" s="3"/>
      <c r="AK52" s="4"/>
      <c r="AL52" s="2"/>
      <c r="AM52" s="5"/>
      <c r="AN52" s="25">
        <f>IF(AM54="","",IF(INDEX('記入'!$A$7:$Q$62,MATCH(VALUE($A46&amp;AL$3&amp;2),'記入'!$A$7:$A$62,0),11)="","",INDEX('記入'!$A$7:$Q$62,MATCH(VALUE($A46&amp;AL$3&amp;2),'記入'!$A$7:$A$62,0),11)))</f>
        <v>0</v>
      </c>
      <c r="AO52" s="26" t="s">
        <v>3</v>
      </c>
      <c r="AP52" s="27">
        <f>IF(AN52="","",INDEX('記入'!$A$7:$Q$62,MATCH(VALUE($A46&amp;AL$3&amp;2),'記入'!$A$7:$A$62,0),13))</f>
        <v>1</v>
      </c>
      <c r="AQ52" s="6"/>
      <c r="AR52" s="4"/>
      <c r="AS52" s="509"/>
      <c r="AT52" s="505"/>
      <c r="AU52" s="505"/>
      <c r="AV52" s="489"/>
      <c r="AW52" s="498"/>
      <c r="AX52" s="62"/>
      <c r="AY52" s="547"/>
      <c r="BA52" s="132"/>
      <c r="BB52" s="494"/>
    </row>
    <row r="53" spans="1:54" ht="11.25" customHeight="1">
      <c r="A53" s="553"/>
      <c r="B53" s="542"/>
      <c r="C53" s="2"/>
      <c r="D53" s="7"/>
      <c r="E53" s="17">
        <f>IF(AI13="","",AI13)</f>
        <v>2</v>
      </c>
      <c r="F53" s="3" t="s">
        <v>3</v>
      </c>
      <c r="G53" s="18">
        <f>IF(AG13="","",AG13)</f>
        <v>0</v>
      </c>
      <c r="H53" s="8"/>
      <c r="I53" s="4"/>
      <c r="J53" s="2"/>
      <c r="K53" s="7"/>
      <c r="L53" s="17">
        <f>IF(AI23="","",AI23)</f>
      </c>
      <c r="M53" s="3" t="s">
        <v>3</v>
      </c>
      <c r="N53" s="18">
        <f>IF(AG23="","",AG23)</f>
      </c>
      <c r="O53" s="8"/>
      <c r="P53" s="4"/>
      <c r="Q53" s="2"/>
      <c r="R53" s="7"/>
      <c r="S53" s="17">
        <f>IF(AI33="","",AI33)</f>
        <v>0</v>
      </c>
      <c r="T53" s="3" t="s">
        <v>3</v>
      </c>
      <c r="U53" s="18">
        <f>IF(AG33="","",AG33)</f>
        <v>2</v>
      </c>
      <c r="V53" s="8"/>
      <c r="W53" s="4"/>
      <c r="X53" s="2"/>
      <c r="Y53" s="7"/>
      <c r="Z53" s="17">
        <f>IF(AI43="","",AI43)</f>
      </c>
      <c r="AA53" s="3" t="s">
        <v>3</v>
      </c>
      <c r="AB53" s="18">
        <f>IF(AG43="","",AG43)</f>
      </c>
      <c r="AC53" s="8"/>
      <c r="AD53" s="4"/>
      <c r="AE53" s="2"/>
      <c r="AF53" s="3"/>
      <c r="AG53" s="3"/>
      <c r="AH53" s="3"/>
      <c r="AI53" s="3"/>
      <c r="AJ53" s="3"/>
      <c r="AK53" s="4"/>
      <c r="AL53" s="2"/>
      <c r="AM53" s="7"/>
      <c r="AN53" s="25">
        <f>IF(AN52="","",AL51-AN52)</f>
        <v>0</v>
      </c>
      <c r="AO53" s="26" t="s">
        <v>3</v>
      </c>
      <c r="AP53" s="27">
        <f>IF(AP52="","",AP51-AP52)</f>
        <v>2</v>
      </c>
      <c r="AQ53" s="8"/>
      <c r="AR53" s="4"/>
      <c r="AS53" s="509"/>
      <c r="AT53" s="505"/>
      <c r="AU53" s="505"/>
      <c r="AV53" s="489"/>
      <c r="AW53" s="498"/>
      <c r="AX53" s="62"/>
      <c r="AY53" s="547"/>
      <c r="BA53" s="132"/>
      <c r="BB53" s="494"/>
    </row>
    <row r="54" spans="1:54" ht="11.25" customHeight="1">
      <c r="A54" s="553"/>
      <c r="B54" s="542"/>
      <c r="C54" s="66"/>
      <c r="D54" s="512" t="str">
        <f>IF(C55="","",AF14)</f>
        <v>⑩</v>
      </c>
      <c r="E54" s="512"/>
      <c r="F54" s="513">
        <f>IF(C55="","",AH14)</f>
        <v>41888</v>
      </c>
      <c r="G54" s="513"/>
      <c r="H54" s="513"/>
      <c r="I54" s="514"/>
      <c r="J54" s="66"/>
      <c r="K54" s="512" t="str">
        <f>IF(J55="","",AF24)</f>
        <v>⑫</v>
      </c>
      <c r="L54" s="512"/>
      <c r="M54" s="513">
        <f>IF(J55="","",AH24)</f>
        <v>41916</v>
      </c>
      <c r="N54" s="513"/>
      <c r="O54" s="513"/>
      <c r="P54" s="514"/>
      <c r="Q54" s="66"/>
      <c r="R54" s="512" t="str">
        <f>IF(Q55="","",AF34)</f>
        <v>⑩</v>
      </c>
      <c r="S54" s="512"/>
      <c r="T54" s="513">
        <f>IF(Q55="","",AH34)</f>
        <v>41895</v>
      </c>
      <c r="U54" s="513"/>
      <c r="V54" s="513"/>
      <c r="W54" s="514"/>
      <c r="X54" s="66"/>
      <c r="Y54" s="512" t="str">
        <f>IF(X55="","",AF44)</f>
        <v>⑬</v>
      </c>
      <c r="Z54" s="512"/>
      <c r="AA54" s="513">
        <f>IF(X55="","",AH44)</f>
        <v>41930</v>
      </c>
      <c r="AB54" s="513"/>
      <c r="AC54" s="513"/>
      <c r="AD54" s="514"/>
      <c r="AE54" s="2"/>
      <c r="AF54" s="3"/>
      <c r="AG54" s="3"/>
      <c r="AH54" s="3"/>
      <c r="AI54" s="3"/>
      <c r="AJ54" s="3"/>
      <c r="AK54" s="4"/>
      <c r="AL54" s="95"/>
      <c r="AM54" s="512" t="str">
        <f>IF(COUNT(MATCH(VALUE($A46&amp;AL$3&amp;2),'記入'!$A$7:$A$62,0))=0,"",INDEX('記入'!$A$7:$Q$62,MATCH(VALUE($A46&amp;AL$3&amp;2),'記入'!$A$7:$A$62,0),3))</f>
        <v>⑨</v>
      </c>
      <c r="AN54" s="512"/>
      <c r="AO54" s="528">
        <f>IF(AM54="","",INDEX('記入'!$A$7:$Q$62,MATCH(VALUE($A46&amp;AL$3&amp;2),'記入'!$A$7:$A$62,0),4))</f>
        <v>41860</v>
      </c>
      <c r="AP54" s="528"/>
      <c r="AQ54" s="528"/>
      <c r="AR54" s="529"/>
      <c r="AS54" s="509"/>
      <c r="AT54" s="505"/>
      <c r="AU54" s="505"/>
      <c r="AV54" s="489"/>
      <c r="AW54" s="498"/>
      <c r="AX54" s="62"/>
      <c r="AY54" s="547"/>
      <c r="BA54" s="132"/>
      <c r="BB54" s="494"/>
    </row>
    <row r="55" spans="1:54" ht="11.25" customHeight="1">
      <c r="A55" s="553"/>
      <c r="B55" s="544"/>
      <c r="C55" s="515" t="str">
        <f>IF(AE15="","",AE15)</f>
        <v>北星中Ｇ</v>
      </c>
      <c r="D55" s="516"/>
      <c r="E55" s="516"/>
      <c r="F55" s="516"/>
      <c r="G55" s="516"/>
      <c r="H55" s="516"/>
      <c r="I55" s="517"/>
      <c r="J55" s="515" t="str">
        <f>IF(AE25="","",AE25)</f>
        <v>松任公園Ｇ</v>
      </c>
      <c r="K55" s="516"/>
      <c r="L55" s="516"/>
      <c r="M55" s="516"/>
      <c r="N55" s="516"/>
      <c r="O55" s="516"/>
      <c r="P55" s="517"/>
      <c r="Q55" s="515" t="str">
        <f>IF(AE35="","",AE35)</f>
        <v>野田中Ｇ</v>
      </c>
      <c r="R55" s="516"/>
      <c r="S55" s="516"/>
      <c r="T55" s="516"/>
      <c r="U55" s="516"/>
      <c r="V55" s="516"/>
      <c r="W55" s="517"/>
      <c r="X55" s="515" t="str">
        <f>IF(AE45="","",AE45)</f>
        <v>松任中Ｇ</v>
      </c>
      <c r="Y55" s="516"/>
      <c r="Z55" s="516"/>
      <c r="AA55" s="516"/>
      <c r="AB55" s="516"/>
      <c r="AC55" s="516"/>
      <c r="AD55" s="517"/>
      <c r="AE55" s="2"/>
      <c r="AF55" s="3"/>
      <c r="AG55" s="3"/>
      <c r="AH55" s="3"/>
      <c r="AI55" s="3"/>
      <c r="AJ55" s="3"/>
      <c r="AK55" s="4"/>
      <c r="AL55" s="515" t="str">
        <f>IF(AM54="","",INDEX('記入'!$A$7:$Q$62,MATCH(VALUE($A46&amp;AL$3&amp;2),'記入'!$A$7:$A$62,0),6))</f>
        <v>野田中Ｇ</v>
      </c>
      <c r="AM55" s="516"/>
      <c r="AN55" s="516"/>
      <c r="AO55" s="516"/>
      <c r="AP55" s="516"/>
      <c r="AQ55" s="516"/>
      <c r="AR55" s="517"/>
      <c r="AS55" s="510"/>
      <c r="AT55" s="506"/>
      <c r="AU55" s="506"/>
      <c r="AV55" s="507"/>
      <c r="AW55" s="500"/>
      <c r="AX55" s="62"/>
      <c r="AY55" s="548"/>
      <c r="BA55" s="132"/>
      <c r="BB55" s="495"/>
    </row>
    <row r="56" spans="1:54" ht="11.25" customHeight="1">
      <c r="A56" s="553">
        <v>6</v>
      </c>
      <c r="B56" s="541" t="str">
        <f>IF(AL5="","",AL5)</f>
        <v>ＦＣ．ＴＯＮ</v>
      </c>
      <c r="C56" s="521">
        <f>IF(E58="","",E57+E58)</f>
        <v>5</v>
      </c>
      <c r="D56" s="518"/>
      <c r="E56" s="518"/>
      <c r="F56" s="11" t="str">
        <f>IF(E58="","",IF(C56=G56,"△",IF(C56&gt;G56,"○","●")))</f>
        <v>○</v>
      </c>
      <c r="G56" s="518">
        <f>IF(G58="","",G57+G58)</f>
        <v>0</v>
      </c>
      <c r="H56" s="518"/>
      <c r="I56" s="519"/>
      <c r="J56" s="520">
        <f>IF(L58="","",L57+L58)</f>
        <v>0</v>
      </c>
      <c r="K56" s="518"/>
      <c r="L56" s="518"/>
      <c r="M56" s="11" t="str">
        <f>IF(L58="","",IF(J56=N56,"△",IF(J56&gt;N56,"○","●")))</f>
        <v>●</v>
      </c>
      <c r="N56" s="518">
        <f>IF(N58="","",N57+N58)</f>
        <v>5</v>
      </c>
      <c r="O56" s="518"/>
      <c r="P56" s="519"/>
      <c r="Q56" s="520">
        <f>IF(S58="","",S57+S58)</f>
        <v>7</v>
      </c>
      <c r="R56" s="518"/>
      <c r="S56" s="518"/>
      <c r="T56" s="11" t="str">
        <f>IF(S58="","",IF(Q56=U56,"△",IF(Q56&gt;U56,"○","●")))</f>
        <v>○</v>
      </c>
      <c r="U56" s="518">
        <f>IF(U58="","",U57+U58)</f>
        <v>1</v>
      </c>
      <c r="V56" s="518"/>
      <c r="W56" s="519"/>
      <c r="X56" s="520">
        <f>IF(Z58="","",Z57+Z58)</f>
        <v>2</v>
      </c>
      <c r="Y56" s="518"/>
      <c r="Z56" s="518"/>
      <c r="AA56" s="11" t="str">
        <f>IF(Z58="","",IF(X56=AB56,"△",IF(X56&gt;AB56,"○","●")))</f>
        <v>○</v>
      </c>
      <c r="AB56" s="518">
        <f>IF(AB58="","",AB57+AB58)</f>
        <v>0</v>
      </c>
      <c r="AC56" s="518"/>
      <c r="AD56" s="519"/>
      <c r="AE56" s="520">
        <f>IF(AG58="","",AG57+AG58)</f>
        <v>4</v>
      </c>
      <c r="AF56" s="518"/>
      <c r="AG56" s="518"/>
      <c r="AH56" s="11" t="str">
        <f>IF(AG58="","",IF(AE56=AI56,"△",IF(AE56&gt;AI56,"○","●")))</f>
        <v>○</v>
      </c>
      <c r="AI56" s="518">
        <f>IF(AI58="","",AI57+AI58)</f>
        <v>0</v>
      </c>
      <c r="AJ56" s="518"/>
      <c r="AK56" s="519"/>
      <c r="AL56" s="5"/>
      <c r="AM56" s="100"/>
      <c r="AN56" s="100"/>
      <c r="AO56" s="100"/>
      <c r="AP56" s="100"/>
      <c r="AQ56" s="100"/>
      <c r="AR56" s="6"/>
      <c r="AS56" s="508">
        <f>IF(COUNT(C57:AR57)=0,"",COUNTIF(AO$6:AO$65,"●")*3+COUNTIF(AO$6:AO$65,"△"))</f>
        <v>18</v>
      </c>
      <c r="AT56" s="504">
        <f>IF(AS56="","",SUM(AP$6:AP$65)/2)</f>
        <v>24</v>
      </c>
      <c r="AU56" s="504">
        <f>IF(AS56="","",SUM(AL$6:AL$65))</f>
        <v>6</v>
      </c>
      <c r="AV56" s="488">
        <f>IF(AS56="","",AT56-AU56)</f>
        <v>18</v>
      </c>
      <c r="AW56" s="499">
        <f>IF(AS56="","",RANK(AX56,AX$6:AX$65))</f>
        <v>2</v>
      </c>
      <c r="AX56" s="62">
        <f>IF(AS56="",-ROW()*10000,AS56*10000+AV56*100+AT56+COUNTIF(C56:AR56,"&gt;=0")/20)</f>
        <v>181824.5</v>
      </c>
      <c r="AY56" s="546">
        <f>RANK(AX56,AX$6:AX$65)</f>
        <v>2</v>
      </c>
      <c r="AZ56" s="1">
        <v>51</v>
      </c>
      <c r="BA56" s="133">
        <f>IF(AS56="",-ROW()*10000,AS56*10000+AV56*100+AT56+COUNTIF(C56:AR56,"&gt;=0")/20-ROW()/1000)</f>
        <v>181824.444</v>
      </c>
      <c r="BB56" s="496">
        <f>RANK(BA56,BA$6:BA$65)</f>
        <v>2</v>
      </c>
    </row>
    <row r="57" spans="1:54" ht="10.5" customHeight="1">
      <c r="A57" s="553"/>
      <c r="B57" s="542"/>
      <c r="C57" s="3"/>
      <c r="D57" s="5"/>
      <c r="E57" s="17">
        <f>IF(AP7="","",AP7)</f>
        <v>0</v>
      </c>
      <c r="F57" s="3" t="s">
        <v>3</v>
      </c>
      <c r="G57" s="18">
        <f>IF(AN7="","",AN7)</f>
        <v>0</v>
      </c>
      <c r="H57" s="6"/>
      <c r="I57" s="4"/>
      <c r="J57" s="2"/>
      <c r="K57" s="5"/>
      <c r="L57" s="17">
        <f>IF(AP17="","",AP17)</f>
        <v>0</v>
      </c>
      <c r="M57" s="3" t="s">
        <v>3</v>
      </c>
      <c r="N57" s="18">
        <f>IF(AN17="","",AN17)</f>
        <v>2</v>
      </c>
      <c r="O57" s="6"/>
      <c r="P57" s="4"/>
      <c r="Q57" s="2"/>
      <c r="R57" s="5"/>
      <c r="S57" s="17">
        <f>IF(AP27="","",AP27)</f>
        <v>3</v>
      </c>
      <c r="T57" s="3" t="s">
        <v>3</v>
      </c>
      <c r="U57" s="18">
        <f>IF(AN27="","",AN27)</f>
        <v>1</v>
      </c>
      <c r="V57" s="6"/>
      <c r="W57" s="4"/>
      <c r="X57" s="2"/>
      <c r="Y57" s="5"/>
      <c r="Z57" s="17">
        <f>IF(AP37="","",AP37)</f>
        <v>2</v>
      </c>
      <c r="AA57" s="3" t="s">
        <v>3</v>
      </c>
      <c r="AB57" s="18">
        <f>IF(AN37="","",AN37)</f>
        <v>0</v>
      </c>
      <c r="AC57" s="6"/>
      <c r="AD57" s="4"/>
      <c r="AE57" s="2"/>
      <c r="AF57" s="5"/>
      <c r="AG57" s="17">
        <f>IF(AP47="","",AP47)</f>
        <v>3</v>
      </c>
      <c r="AH57" s="3" t="s">
        <v>3</v>
      </c>
      <c r="AI57" s="18">
        <f>IF(AN47="","",AN47)</f>
        <v>0</v>
      </c>
      <c r="AJ57" s="6"/>
      <c r="AK57" s="4"/>
      <c r="AL57" s="2"/>
      <c r="AM57" s="3"/>
      <c r="AN57" s="3"/>
      <c r="AO57" s="3"/>
      <c r="AP57" s="3"/>
      <c r="AQ57" s="3"/>
      <c r="AR57" s="4"/>
      <c r="AS57" s="509"/>
      <c r="AT57" s="505"/>
      <c r="AU57" s="505"/>
      <c r="AV57" s="489"/>
      <c r="AW57" s="498"/>
      <c r="AX57" s="62"/>
      <c r="AY57" s="547"/>
      <c r="BA57" s="132"/>
      <c r="BB57" s="494"/>
    </row>
    <row r="58" spans="1:54" ht="10.5" customHeight="1">
      <c r="A58" s="553"/>
      <c r="B58" s="542"/>
      <c r="C58" s="3"/>
      <c r="D58" s="7"/>
      <c r="E58" s="17">
        <f>IF(AP8="","",AP8)</f>
        <v>5</v>
      </c>
      <c r="F58" s="3" t="s">
        <v>3</v>
      </c>
      <c r="G58" s="18">
        <f>IF(AN8="","",AN8)</f>
        <v>0</v>
      </c>
      <c r="H58" s="8"/>
      <c r="I58" s="4"/>
      <c r="J58" s="2"/>
      <c r="K58" s="7"/>
      <c r="L58" s="17">
        <f>IF(AP18="","",AP18)</f>
        <v>0</v>
      </c>
      <c r="M58" s="3" t="s">
        <v>3</v>
      </c>
      <c r="N58" s="18">
        <f>IF(AN18="","",AN18)</f>
        <v>3</v>
      </c>
      <c r="O58" s="8"/>
      <c r="P58" s="4"/>
      <c r="Q58" s="2"/>
      <c r="R58" s="7"/>
      <c r="S58" s="17">
        <f>IF(AP28="","",AP28)</f>
        <v>4</v>
      </c>
      <c r="T58" s="3" t="s">
        <v>3</v>
      </c>
      <c r="U58" s="18">
        <f>IF(AN28="","",AN28)</f>
        <v>0</v>
      </c>
      <c r="V58" s="8"/>
      <c r="W58" s="4"/>
      <c r="X58" s="2"/>
      <c r="Y58" s="7"/>
      <c r="Z58" s="17">
        <f>IF(AP38="","",AP38)</f>
        <v>0</v>
      </c>
      <c r="AA58" s="3" t="s">
        <v>3</v>
      </c>
      <c r="AB58" s="18">
        <f>IF(AN38="","",AN38)</f>
        <v>0</v>
      </c>
      <c r="AC58" s="8"/>
      <c r="AD58" s="4"/>
      <c r="AE58" s="2"/>
      <c r="AF58" s="7"/>
      <c r="AG58" s="17">
        <f>IF(AP48="","",AP48)</f>
        <v>1</v>
      </c>
      <c r="AH58" s="3" t="s">
        <v>3</v>
      </c>
      <c r="AI58" s="18">
        <f>IF(AN48="","",AN48)</f>
        <v>0</v>
      </c>
      <c r="AJ58" s="8"/>
      <c r="AK58" s="4"/>
      <c r="AL58" s="2"/>
      <c r="AM58" s="3"/>
      <c r="AN58" s="3"/>
      <c r="AO58" s="3"/>
      <c r="AP58" s="3"/>
      <c r="AQ58" s="3"/>
      <c r="AR58" s="4"/>
      <c r="AS58" s="509"/>
      <c r="AT58" s="505"/>
      <c r="AU58" s="505"/>
      <c r="AV58" s="489"/>
      <c r="AW58" s="498"/>
      <c r="AX58" s="62"/>
      <c r="AY58" s="547"/>
      <c r="BA58" s="132"/>
      <c r="BB58" s="494"/>
    </row>
    <row r="59" spans="1:54" ht="11.25" customHeight="1">
      <c r="A59" s="553"/>
      <c r="B59" s="542"/>
      <c r="C59" s="66"/>
      <c r="D59" s="512" t="str">
        <f>IF(C60="","",AM9)</f>
        <v>⑦</v>
      </c>
      <c r="E59" s="512"/>
      <c r="F59" s="513">
        <f>IF(C60="","",AO9)</f>
        <v>41833</v>
      </c>
      <c r="G59" s="513"/>
      <c r="H59" s="513"/>
      <c r="I59" s="514"/>
      <c r="J59" s="66"/>
      <c r="K59" s="512" t="str">
        <f>IF(J60="","",AM19)</f>
        <v>④</v>
      </c>
      <c r="L59" s="512"/>
      <c r="M59" s="513">
        <f>IF(J60="","",AO19)</f>
        <v>41783</v>
      </c>
      <c r="N59" s="513"/>
      <c r="O59" s="513"/>
      <c r="P59" s="514"/>
      <c r="Q59" s="66"/>
      <c r="R59" s="512" t="str">
        <f>IF(Q60="","",AM29)</f>
        <v>⑦</v>
      </c>
      <c r="S59" s="512"/>
      <c r="T59" s="513">
        <f>IF(Q60="","",AO29)</f>
        <v>41826</v>
      </c>
      <c r="U59" s="513"/>
      <c r="V59" s="513"/>
      <c r="W59" s="514"/>
      <c r="X59" s="66"/>
      <c r="Y59" s="512" t="str">
        <f>IF(X60="","",AM39)</f>
        <v>⑥</v>
      </c>
      <c r="Z59" s="512"/>
      <c r="AA59" s="513">
        <f>IF(X60="","",AO39)</f>
        <v>41818</v>
      </c>
      <c r="AB59" s="513"/>
      <c r="AC59" s="513"/>
      <c r="AD59" s="514"/>
      <c r="AE59" s="66"/>
      <c r="AF59" s="512" t="str">
        <f>IF(AE60="","",AM49)</f>
        <v>④</v>
      </c>
      <c r="AG59" s="512"/>
      <c r="AH59" s="513">
        <f>IF(AE60="","",AO49)</f>
        <v>41783</v>
      </c>
      <c r="AI59" s="513"/>
      <c r="AJ59" s="513"/>
      <c r="AK59" s="514"/>
      <c r="AL59" s="2"/>
      <c r="AM59" s="3"/>
      <c r="AN59" s="3"/>
      <c r="AO59" s="3"/>
      <c r="AP59" s="3"/>
      <c r="AQ59" s="3"/>
      <c r="AR59" s="4"/>
      <c r="AS59" s="509"/>
      <c r="AT59" s="505"/>
      <c r="AU59" s="505"/>
      <c r="AV59" s="489"/>
      <c r="AW59" s="498"/>
      <c r="AX59" s="62"/>
      <c r="AY59" s="547"/>
      <c r="BA59" s="132"/>
      <c r="BB59" s="494"/>
    </row>
    <row r="60" spans="1:54" ht="11.25" customHeight="1">
      <c r="A60" s="553"/>
      <c r="B60" s="542"/>
      <c r="C60" s="515" t="str">
        <f>IF(AL10="","",AL10)</f>
        <v>松任中Ｇ</v>
      </c>
      <c r="D60" s="516"/>
      <c r="E60" s="516"/>
      <c r="F60" s="516"/>
      <c r="G60" s="516"/>
      <c r="H60" s="516"/>
      <c r="I60" s="517"/>
      <c r="J60" s="515" t="str">
        <f>IF(AL20="","",AL20)</f>
        <v>ドーム</v>
      </c>
      <c r="K60" s="516"/>
      <c r="L60" s="516"/>
      <c r="M60" s="516"/>
      <c r="N60" s="516"/>
      <c r="O60" s="516"/>
      <c r="P60" s="517"/>
      <c r="Q60" s="515" t="str">
        <f>IF(AL30="","",AL30)</f>
        <v>北星中Ｇ</v>
      </c>
      <c r="R60" s="516"/>
      <c r="S60" s="516"/>
      <c r="T60" s="516"/>
      <c r="U60" s="516"/>
      <c r="V60" s="516"/>
      <c r="W60" s="517"/>
      <c r="X60" s="515" t="str">
        <f>IF(AL40="","",AL40)</f>
        <v>北部公園Ｇ</v>
      </c>
      <c r="Y60" s="516"/>
      <c r="Z60" s="516"/>
      <c r="AA60" s="516"/>
      <c r="AB60" s="516"/>
      <c r="AC60" s="516"/>
      <c r="AD60" s="517"/>
      <c r="AE60" s="515" t="str">
        <f>IF(AL50="","",AL50)</f>
        <v>北星中Ｇ</v>
      </c>
      <c r="AF60" s="516"/>
      <c r="AG60" s="516"/>
      <c r="AH60" s="516"/>
      <c r="AI60" s="516"/>
      <c r="AJ60" s="516"/>
      <c r="AK60" s="517"/>
      <c r="AL60" s="2"/>
      <c r="AM60" s="3"/>
      <c r="AN60" s="3"/>
      <c r="AO60" s="3"/>
      <c r="AP60" s="3"/>
      <c r="AQ60" s="3"/>
      <c r="AR60" s="4"/>
      <c r="AS60" s="509"/>
      <c r="AT60" s="505"/>
      <c r="AU60" s="505"/>
      <c r="AV60" s="489"/>
      <c r="AW60" s="498"/>
      <c r="AX60" s="62"/>
      <c r="AY60" s="547"/>
      <c r="BA60" s="132"/>
      <c r="BB60" s="494"/>
    </row>
    <row r="61" spans="1:54" ht="11.25" customHeight="1">
      <c r="A61" s="553"/>
      <c r="B61" s="542"/>
      <c r="C61" s="521">
        <f>IF(E63="","",E62+E63)</f>
        <v>3</v>
      </c>
      <c r="D61" s="518"/>
      <c r="E61" s="518"/>
      <c r="F61" s="11" t="str">
        <f>IF(E63="","",IF(C61=G61,"△",IF(C61&gt;G61,"○","●")))</f>
        <v>○</v>
      </c>
      <c r="G61" s="518">
        <f>IF(G63="","",G62+G63)</f>
        <v>0</v>
      </c>
      <c r="H61" s="518"/>
      <c r="I61" s="519"/>
      <c r="J61" s="520">
        <f>IF(L63="","",L62+L63)</f>
      </c>
      <c r="K61" s="518"/>
      <c r="L61" s="518"/>
      <c r="M61" s="11">
        <f>IF(L63="","",IF(J61=N61,"△",IF(J61&gt;N61,"○","●")))</f>
      </c>
      <c r="N61" s="518">
        <f>IF(N63="","",N62+N63)</f>
      </c>
      <c r="O61" s="518"/>
      <c r="P61" s="519"/>
      <c r="Q61" s="520">
        <f>IF(S63="","",S62+S63)</f>
      </c>
      <c r="R61" s="518"/>
      <c r="S61" s="518"/>
      <c r="T61" s="11">
        <f>IF(S63="","",IF(Q61=U61,"△",IF(Q61&gt;U61,"○","●")))</f>
      </c>
      <c r="U61" s="518">
        <f>IF(U63="","",U62+U63)</f>
      </c>
      <c r="V61" s="518"/>
      <c r="W61" s="519"/>
      <c r="X61" s="520">
        <f>IF(Z63="","",Z62+Z63)</f>
      </c>
      <c r="Y61" s="518"/>
      <c r="Z61" s="518"/>
      <c r="AA61" s="11">
        <f>IF(Z63="","",IF(X61=AB61,"△",IF(X61&gt;AB61,"○","●")))</f>
      </c>
      <c r="AB61" s="518">
        <f>IF(AB63="","",AB62+AB63)</f>
      </c>
      <c r="AC61" s="518"/>
      <c r="AD61" s="519"/>
      <c r="AE61" s="520">
        <f>IF(AG63="","",AG62+AG63)</f>
        <v>3</v>
      </c>
      <c r="AF61" s="518"/>
      <c r="AG61" s="518"/>
      <c r="AH61" s="11" t="str">
        <f>IF(AG63="","",IF(AE61=AI61,"△",IF(AE61&gt;AI61,"○","●")))</f>
        <v>○</v>
      </c>
      <c r="AI61" s="518">
        <f>IF(AI63="","",AI62+AI63)</f>
        <v>0</v>
      </c>
      <c r="AJ61" s="518"/>
      <c r="AK61" s="519"/>
      <c r="AL61" s="2"/>
      <c r="AM61" s="3"/>
      <c r="AN61" s="3"/>
      <c r="AO61" s="3"/>
      <c r="AP61" s="3"/>
      <c r="AQ61" s="3"/>
      <c r="AR61" s="4"/>
      <c r="AS61" s="509"/>
      <c r="AT61" s="505"/>
      <c r="AU61" s="505"/>
      <c r="AV61" s="489"/>
      <c r="AW61" s="498"/>
      <c r="AX61" s="62"/>
      <c r="AY61" s="547"/>
      <c r="BA61" s="132"/>
      <c r="BB61" s="494"/>
    </row>
    <row r="62" spans="1:54" ht="11.25" customHeight="1">
      <c r="A62" s="553"/>
      <c r="B62" s="542"/>
      <c r="C62" s="3"/>
      <c r="D62" s="5"/>
      <c r="E62" s="17">
        <f>IF(AP12="","",AP12)</f>
        <v>0</v>
      </c>
      <c r="F62" s="3" t="s">
        <v>3</v>
      </c>
      <c r="G62" s="18">
        <f>IF(AN12="","",AN12)</f>
        <v>0</v>
      </c>
      <c r="H62" s="6"/>
      <c r="I62" s="4"/>
      <c r="J62" s="2"/>
      <c r="K62" s="5"/>
      <c r="L62" s="17">
        <f>IF(AP22="","",AP22)</f>
      </c>
      <c r="M62" s="3" t="s">
        <v>3</v>
      </c>
      <c r="N62" s="18">
        <f>IF(AN22="","",AN22)</f>
      </c>
      <c r="O62" s="6"/>
      <c r="P62" s="4"/>
      <c r="Q62" s="2"/>
      <c r="R62" s="5"/>
      <c r="S62" s="17">
        <f>IF(AP32="","",AP32)</f>
      </c>
      <c r="T62" s="3" t="s">
        <v>3</v>
      </c>
      <c r="U62" s="18">
        <f>IF(AN32="","",AN32)</f>
      </c>
      <c r="V62" s="6"/>
      <c r="W62" s="4"/>
      <c r="X62" s="2"/>
      <c r="Y62" s="5"/>
      <c r="Z62" s="17">
        <f>IF(AP42="","",AP42)</f>
      </c>
      <c r="AA62" s="3" t="s">
        <v>3</v>
      </c>
      <c r="AB62" s="18">
        <f>IF(AN42="","",AN42)</f>
      </c>
      <c r="AC62" s="6"/>
      <c r="AD62" s="4"/>
      <c r="AE62" s="2"/>
      <c r="AF62" s="5"/>
      <c r="AG62" s="17">
        <f>IF(AP52="","",AP52)</f>
        <v>1</v>
      </c>
      <c r="AH62" s="3" t="s">
        <v>3</v>
      </c>
      <c r="AI62" s="18">
        <f>IF(AN52="","",AN52)</f>
        <v>0</v>
      </c>
      <c r="AJ62" s="6"/>
      <c r="AK62" s="4"/>
      <c r="AL62" s="2"/>
      <c r="AM62" s="3"/>
      <c r="AN62" s="3"/>
      <c r="AO62" s="3"/>
      <c r="AP62" s="3"/>
      <c r="AQ62" s="3"/>
      <c r="AR62" s="4"/>
      <c r="AS62" s="509"/>
      <c r="AT62" s="505"/>
      <c r="AU62" s="505"/>
      <c r="AV62" s="489"/>
      <c r="AW62" s="498"/>
      <c r="AX62" s="62"/>
      <c r="AY62" s="547"/>
      <c r="BA62" s="132"/>
      <c r="BB62" s="494"/>
    </row>
    <row r="63" spans="1:54" ht="11.25" customHeight="1">
      <c r="A63" s="553"/>
      <c r="B63" s="542"/>
      <c r="C63" s="3"/>
      <c r="D63" s="7"/>
      <c r="E63" s="17">
        <f>IF(AP13="","",AP13)</f>
        <v>3</v>
      </c>
      <c r="F63" s="3" t="s">
        <v>3</v>
      </c>
      <c r="G63" s="18">
        <f>IF(AN13="","",AN13)</f>
        <v>0</v>
      </c>
      <c r="H63" s="8"/>
      <c r="I63" s="4"/>
      <c r="J63" s="2"/>
      <c r="K63" s="7"/>
      <c r="L63" s="17">
        <f>IF(AP23="","",AP23)</f>
      </c>
      <c r="M63" s="3" t="s">
        <v>3</v>
      </c>
      <c r="N63" s="18">
        <f>IF(AN23="","",AN23)</f>
      </c>
      <c r="O63" s="8"/>
      <c r="P63" s="4"/>
      <c r="Q63" s="2"/>
      <c r="R63" s="7"/>
      <c r="S63" s="17">
        <f>IF(AP33="","",AP33)</f>
      </c>
      <c r="T63" s="3" t="s">
        <v>3</v>
      </c>
      <c r="U63" s="18">
        <f>IF(AN33="","",AN33)</f>
      </c>
      <c r="V63" s="8"/>
      <c r="W63" s="4"/>
      <c r="X63" s="2"/>
      <c r="Y63" s="7"/>
      <c r="Z63" s="17">
        <f>IF(AP43="","",AP43)</f>
      </c>
      <c r="AA63" s="3" t="s">
        <v>3</v>
      </c>
      <c r="AB63" s="18">
        <f>IF(AN43="","",AN43)</f>
      </c>
      <c r="AC63" s="8"/>
      <c r="AD63" s="4"/>
      <c r="AE63" s="2"/>
      <c r="AF63" s="7"/>
      <c r="AG63" s="17">
        <f>IF(AP53="","",AP53)</f>
        <v>2</v>
      </c>
      <c r="AH63" s="3" t="s">
        <v>3</v>
      </c>
      <c r="AI63" s="18">
        <f>IF(AN53="","",AN53)</f>
        <v>0</v>
      </c>
      <c r="AJ63" s="8"/>
      <c r="AK63" s="4"/>
      <c r="AL63" s="2"/>
      <c r="AM63" s="3"/>
      <c r="AN63" s="3"/>
      <c r="AO63" s="3"/>
      <c r="AP63" s="3"/>
      <c r="AQ63" s="3"/>
      <c r="AR63" s="4"/>
      <c r="AS63" s="509"/>
      <c r="AT63" s="505"/>
      <c r="AU63" s="505"/>
      <c r="AV63" s="489"/>
      <c r="AW63" s="498"/>
      <c r="AX63" s="62"/>
      <c r="AY63" s="547"/>
      <c r="BA63" s="132"/>
      <c r="BB63" s="494"/>
    </row>
    <row r="64" spans="1:54" ht="11.25" customHeight="1">
      <c r="A64" s="553"/>
      <c r="B64" s="542"/>
      <c r="C64" s="66"/>
      <c r="D64" s="512" t="str">
        <f>IF(C65="","",AM14)</f>
        <v>⑧</v>
      </c>
      <c r="E64" s="512"/>
      <c r="F64" s="513">
        <f>IF(C65="","",AO14)</f>
        <v>41847</v>
      </c>
      <c r="G64" s="513"/>
      <c r="H64" s="513"/>
      <c r="I64" s="514"/>
      <c r="J64" s="66"/>
      <c r="K64" s="512" t="str">
        <f>IF(J65="","",AM24)</f>
        <v>⑫</v>
      </c>
      <c r="L64" s="512"/>
      <c r="M64" s="513">
        <f>IF(J65="","",AO24)</f>
        <v>41916</v>
      </c>
      <c r="N64" s="513"/>
      <c r="O64" s="513"/>
      <c r="P64" s="514"/>
      <c r="Q64" s="66"/>
      <c r="R64" s="512" t="str">
        <f>IF(Q65="","",AM34)</f>
        <v>⑪</v>
      </c>
      <c r="S64" s="512"/>
      <c r="T64" s="513">
        <f>IF(Q65="","",AO34)</f>
        <v>41909</v>
      </c>
      <c r="U64" s="513"/>
      <c r="V64" s="513"/>
      <c r="W64" s="514"/>
      <c r="X64" s="66"/>
      <c r="Y64" s="512" t="str">
        <f>IF(X65="","",AM44)</f>
        <v>⑫</v>
      </c>
      <c r="Z64" s="512"/>
      <c r="AA64" s="513">
        <f>IF(X65="","",AO44)</f>
        <v>41916</v>
      </c>
      <c r="AB64" s="513"/>
      <c r="AC64" s="513"/>
      <c r="AD64" s="514"/>
      <c r="AE64" s="66"/>
      <c r="AF64" s="512" t="str">
        <f>IF(AE65="","",AM54)</f>
        <v>⑨</v>
      </c>
      <c r="AG64" s="512"/>
      <c r="AH64" s="513">
        <f>IF(AE65="","",AO54)</f>
        <v>41860</v>
      </c>
      <c r="AI64" s="513"/>
      <c r="AJ64" s="513"/>
      <c r="AK64" s="514"/>
      <c r="AL64" s="2"/>
      <c r="AM64" s="3"/>
      <c r="AN64" s="3"/>
      <c r="AO64" s="3"/>
      <c r="AP64" s="3"/>
      <c r="AQ64" s="3"/>
      <c r="AR64" s="4"/>
      <c r="AS64" s="509"/>
      <c r="AT64" s="505"/>
      <c r="AU64" s="505"/>
      <c r="AV64" s="489"/>
      <c r="AW64" s="498"/>
      <c r="AX64" s="62"/>
      <c r="AY64" s="547"/>
      <c r="BA64" s="132"/>
      <c r="BB64" s="494"/>
    </row>
    <row r="65" spans="1:54" ht="11.25" customHeight="1" thickBot="1">
      <c r="A65" s="553"/>
      <c r="B65" s="543"/>
      <c r="C65" s="501" t="str">
        <f>IF(AL15="","",AL15)</f>
        <v>松任中Ｇ</v>
      </c>
      <c r="D65" s="502"/>
      <c r="E65" s="502"/>
      <c r="F65" s="502"/>
      <c r="G65" s="502"/>
      <c r="H65" s="502"/>
      <c r="I65" s="503"/>
      <c r="J65" s="501" t="str">
        <f>IF(AL25="","",AL25)</f>
        <v>松任公園Ｇ</v>
      </c>
      <c r="K65" s="502"/>
      <c r="L65" s="502"/>
      <c r="M65" s="502"/>
      <c r="N65" s="502"/>
      <c r="O65" s="502"/>
      <c r="P65" s="503"/>
      <c r="Q65" s="501" t="str">
        <f>IF(AL35="","",AL35)</f>
        <v>金沢市営</v>
      </c>
      <c r="R65" s="502"/>
      <c r="S65" s="502"/>
      <c r="T65" s="502"/>
      <c r="U65" s="502"/>
      <c r="V65" s="502"/>
      <c r="W65" s="503"/>
      <c r="X65" s="501" t="str">
        <f>IF(AL45="","",AL45)</f>
        <v>松任公園Ｇ</v>
      </c>
      <c r="Y65" s="502"/>
      <c r="Z65" s="502"/>
      <c r="AA65" s="502"/>
      <c r="AB65" s="502"/>
      <c r="AC65" s="502"/>
      <c r="AD65" s="503"/>
      <c r="AE65" s="501" t="str">
        <f>IF(AL55="","",AL55)</f>
        <v>野田中Ｇ</v>
      </c>
      <c r="AF65" s="502"/>
      <c r="AG65" s="502"/>
      <c r="AH65" s="502"/>
      <c r="AI65" s="502"/>
      <c r="AJ65" s="502"/>
      <c r="AK65" s="503"/>
      <c r="AL65" s="101"/>
      <c r="AM65" s="102"/>
      <c r="AN65" s="102"/>
      <c r="AO65" s="102"/>
      <c r="AP65" s="102"/>
      <c r="AQ65" s="102"/>
      <c r="AR65" s="343"/>
      <c r="AS65" s="511"/>
      <c r="AT65" s="525"/>
      <c r="AU65" s="525"/>
      <c r="AV65" s="490"/>
      <c r="AW65" s="538"/>
      <c r="AX65" s="62"/>
      <c r="AY65" s="548"/>
      <c r="BA65" s="132"/>
      <c r="BB65" s="495"/>
    </row>
    <row r="66" spans="2:49" ht="15" customHeight="1">
      <c r="B66" s="67"/>
      <c r="C66" s="533"/>
      <c r="D66" s="533"/>
      <c r="E66" s="533"/>
      <c r="F66" s="68"/>
      <c r="G66" s="533"/>
      <c r="H66" s="533"/>
      <c r="I66" s="533"/>
      <c r="J66" s="533"/>
      <c r="K66" s="533"/>
      <c r="L66" s="533"/>
      <c r="M66" s="68"/>
      <c r="N66" s="533"/>
      <c r="O66" s="533"/>
      <c r="P66" s="533"/>
      <c r="Q66" s="533"/>
      <c r="R66" s="533"/>
      <c r="S66" s="533"/>
      <c r="T66" s="68"/>
      <c r="U66" s="533"/>
      <c r="V66" s="533"/>
      <c r="W66" s="533"/>
      <c r="X66" s="533"/>
      <c r="Y66" s="533"/>
      <c r="Z66" s="533"/>
      <c r="AA66" s="68"/>
      <c r="AB66" s="533"/>
      <c r="AC66" s="533"/>
      <c r="AD66" s="533"/>
      <c r="AE66" s="533"/>
      <c r="AF66" s="533"/>
      <c r="AG66" s="533"/>
      <c r="AH66" s="68"/>
      <c r="AI66" s="533"/>
      <c r="AJ66" s="533"/>
      <c r="AK66" s="533"/>
      <c r="AL66" s="533"/>
      <c r="AM66" s="533"/>
      <c r="AN66" s="533"/>
      <c r="AO66" s="68"/>
      <c r="AP66" s="533"/>
      <c r="AQ66" s="533"/>
      <c r="AR66" s="533"/>
      <c r="AS66" s="67"/>
      <c r="AT66" s="67">
        <f>SUM(AT6:AT65)</f>
        <v>125</v>
      </c>
      <c r="AU66" s="67">
        <f>SUM(AU6:AU65)</f>
        <v>125</v>
      </c>
      <c r="AV66" s="67">
        <f>SUM(AV6:AV65)</f>
        <v>0</v>
      </c>
      <c r="AW66" s="67"/>
    </row>
    <row r="67" spans="2:44" ht="15" customHeight="1">
      <c r="B67" s="1" t="s">
        <v>39</v>
      </c>
      <c r="C67" s="552">
        <v>1</v>
      </c>
      <c r="D67" s="552"/>
      <c r="E67" s="552"/>
      <c r="F67" s="552"/>
      <c r="G67" s="552"/>
      <c r="H67" s="552"/>
      <c r="I67" s="552"/>
      <c r="J67" s="552">
        <v>8</v>
      </c>
      <c r="K67" s="552"/>
      <c r="L67" s="552"/>
      <c r="M67" s="552"/>
      <c r="N67" s="552"/>
      <c r="O67" s="552"/>
      <c r="P67" s="552"/>
      <c r="Q67" s="552">
        <v>15</v>
      </c>
      <c r="R67" s="552"/>
      <c r="S67" s="552"/>
      <c r="T67" s="552"/>
      <c r="U67" s="552"/>
      <c r="V67" s="552"/>
      <c r="W67" s="552"/>
      <c r="X67" s="552">
        <v>22</v>
      </c>
      <c r="Y67" s="552"/>
      <c r="Z67" s="552"/>
      <c r="AA67" s="552"/>
      <c r="AB67" s="552"/>
      <c r="AC67" s="552"/>
      <c r="AD67" s="552"/>
      <c r="AE67" s="552">
        <v>29</v>
      </c>
      <c r="AF67" s="552"/>
      <c r="AG67" s="552"/>
      <c r="AH67" s="552"/>
      <c r="AI67" s="552"/>
      <c r="AJ67" s="552"/>
      <c r="AK67" s="552"/>
      <c r="AL67" s="552">
        <v>36</v>
      </c>
      <c r="AM67" s="552"/>
      <c r="AN67" s="552"/>
      <c r="AO67" s="552"/>
      <c r="AP67" s="552"/>
      <c r="AQ67" s="552"/>
      <c r="AR67" s="552"/>
    </row>
  </sheetData>
  <sheetProtection/>
  <mergeCells count="388">
    <mergeCell ref="X3:AD3"/>
    <mergeCell ref="AE3:AK3"/>
    <mergeCell ref="AL3:AR3"/>
    <mergeCell ref="M9:P9"/>
    <mergeCell ref="A36:A45"/>
    <mergeCell ref="A46:A55"/>
    <mergeCell ref="Q11:S11"/>
    <mergeCell ref="U11:W11"/>
    <mergeCell ref="J3:P3"/>
    <mergeCell ref="Q3:W3"/>
    <mergeCell ref="A56:A65"/>
    <mergeCell ref="A6:A15"/>
    <mergeCell ref="A16:A25"/>
    <mergeCell ref="A26:A35"/>
    <mergeCell ref="C3:I3"/>
    <mergeCell ref="N11:P11"/>
    <mergeCell ref="N26:P26"/>
    <mergeCell ref="C21:E21"/>
    <mergeCell ref="G21:I21"/>
    <mergeCell ref="B6:B15"/>
    <mergeCell ref="R9:S9"/>
    <mergeCell ref="Y9:Z9"/>
    <mergeCell ref="T9:W9"/>
    <mergeCell ref="Q10:W10"/>
    <mergeCell ref="C67:I67"/>
    <mergeCell ref="J67:P67"/>
    <mergeCell ref="Q67:W67"/>
    <mergeCell ref="X67:AD67"/>
    <mergeCell ref="T39:W39"/>
    <mergeCell ref="Q36:S36"/>
    <mergeCell ref="AE67:AK67"/>
    <mergeCell ref="AL67:AR67"/>
    <mergeCell ref="AE15:AK15"/>
    <mergeCell ref="X11:Z11"/>
    <mergeCell ref="AB11:AD11"/>
    <mergeCell ref="AE65:AK65"/>
    <mergeCell ref="AH39:AK39"/>
    <mergeCell ref="AL50:AR50"/>
    <mergeCell ref="AL51:AN51"/>
    <mergeCell ref="AF14:AG14"/>
    <mergeCell ref="AF9:AG9"/>
    <mergeCell ref="AH9:AK9"/>
    <mergeCell ref="AE10:AK10"/>
    <mergeCell ref="AL10:AR10"/>
    <mergeCell ref="AE11:AG11"/>
    <mergeCell ref="AI11:AK11"/>
    <mergeCell ref="AL11:AN11"/>
    <mergeCell ref="X35:AD35"/>
    <mergeCell ref="AA34:AD34"/>
    <mergeCell ref="AM34:AN34"/>
    <mergeCell ref="AI36:AK36"/>
    <mergeCell ref="AH14:AK14"/>
    <mergeCell ref="AM14:AN14"/>
    <mergeCell ref="AI31:AK31"/>
    <mergeCell ref="AF34:AG34"/>
    <mergeCell ref="AA19:AD19"/>
    <mergeCell ref="AF29:AG29"/>
    <mergeCell ref="R54:S54"/>
    <mergeCell ref="T54:W54"/>
    <mergeCell ref="AA54:AD54"/>
    <mergeCell ref="AB31:AD31"/>
    <mergeCell ref="AF19:AG19"/>
    <mergeCell ref="AE31:AG31"/>
    <mergeCell ref="AE36:AG36"/>
    <mergeCell ref="Q25:W25"/>
    <mergeCell ref="AE21:AG21"/>
    <mergeCell ref="T19:W19"/>
    <mergeCell ref="X30:AD30"/>
    <mergeCell ref="AA49:AD49"/>
    <mergeCell ref="M49:P49"/>
    <mergeCell ref="AF39:AG39"/>
    <mergeCell ref="AE41:AG41"/>
    <mergeCell ref="AE40:AK40"/>
    <mergeCell ref="Q40:W40"/>
    <mergeCell ref="X46:Z46"/>
    <mergeCell ref="AB46:AD46"/>
    <mergeCell ref="T49:W49"/>
    <mergeCell ref="AH44:AK44"/>
    <mergeCell ref="AY36:AY45"/>
    <mergeCell ref="AY46:AY55"/>
    <mergeCell ref="AW36:AW45"/>
    <mergeCell ref="AX5:AY5"/>
    <mergeCell ref="AP11:AR11"/>
    <mergeCell ref="AM9:AN9"/>
    <mergeCell ref="AO9:AR9"/>
    <mergeCell ref="AL15:AR15"/>
    <mergeCell ref="AS6:AS15"/>
    <mergeCell ref="AS26:AS35"/>
    <mergeCell ref="AT26:AT35"/>
    <mergeCell ref="AU26:AU35"/>
    <mergeCell ref="AY6:AY15"/>
    <mergeCell ref="AY16:AY25"/>
    <mergeCell ref="AY26:AY35"/>
    <mergeCell ref="AW26:AW35"/>
    <mergeCell ref="AS16:AS25"/>
    <mergeCell ref="AO19:AR19"/>
    <mergeCell ref="AL16:AN16"/>
    <mergeCell ref="AY56:AY65"/>
    <mergeCell ref="AO34:AR34"/>
    <mergeCell ref="AL31:AN31"/>
    <mergeCell ref="AP31:AR31"/>
    <mergeCell ref="AL36:AN36"/>
    <mergeCell ref="AO39:AR39"/>
    <mergeCell ref="AP36:AR36"/>
    <mergeCell ref="AO29:AR29"/>
    <mergeCell ref="Q16:S16"/>
    <mergeCell ref="X16:Z16"/>
    <mergeCell ref="AO24:AR24"/>
    <mergeCell ref="R24:S24"/>
    <mergeCell ref="T24:W24"/>
    <mergeCell ref="Y24:Z24"/>
    <mergeCell ref="AA24:AD24"/>
    <mergeCell ref="AP21:AR21"/>
    <mergeCell ref="AL20:AR20"/>
    <mergeCell ref="AM19:AN19"/>
    <mergeCell ref="AP6:AR6"/>
    <mergeCell ref="AT6:AT15"/>
    <mergeCell ref="U16:W16"/>
    <mergeCell ref="Y14:Z14"/>
    <mergeCell ref="AA14:AD14"/>
    <mergeCell ref="T14:W14"/>
    <mergeCell ref="AE6:AG6"/>
    <mergeCell ref="AI16:AK16"/>
    <mergeCell ref="AO14:AR14"/>
    <mergeCell ref="AB16:AD16"/>
    <mergeCell ref="J6:L6"/>
    <mergeCell ref="K9:L9"/>
    <mergeCell ref="J11:L11"/>
    <mergeCell ref="J15:P15"/>
    <mergeCell ref="K14:L14"/>
    <mergeCell ref="M14:P14"/>
    <mergeCell ref="N6:P6"/>
    <mergeCell ref="B26:B35"/>
    <mergeCell ref="J10:P10"/>
    <mergeCell ref="C16:E16"/>
    <mergeCell ref="F19:I19"/>
    <mergeCell ref="C20:I20"/>
    <mergeCell ref="K29:L29"/>
    <mergeCell ref="D24:E24"/>
    <mergeCell ref="F24:I24"/>
    <mergeCell ref="G26:I26"/>
    <mergeCell ref="D19:E19"/>
    <mergeCell ref="J36:L36"/>
    <mergeCell ref="R14:S14"/>
    <mergeCell ref="Q15:W15"/>
    <mergeCell ref="AP16:AR16"/>
    <mergeCell ref="Q20:W20"/>
    <mergeCell ref="Q21:S21"/>
    <mergeCell ref="U21:W21"/>
    <mergeCell ref="AB21:AD21"/>
    <mergeCell ref="X20:AD20"/>
    <mergeCell ref="R19:S19"/>
    <mergeCell ref="J31:L31"/>
    <mergeCell ref="N31:P31"/>
    <mergeCell ref="AP46:AR46"/>
    <mergeCell ref="AM49:AN49"/>
    <mergeCell ref="AL46:AN46"/>
    <mergeCell ref="M34:P34"/>
    <mergeCell ref="AL40:AR40"/>
    <mergeCell ref="Q45:W45"/>
    <mergeCell ref="J40:P40"/>
    <mergeCell ref="AM44:AN44"/>
    <mergeCell ref="AP26:AR26"/>
    <mergeCell ref="AB61:AD61"/>
    <mergeCell ref="AB56:AD56"/>
    <mergeCell ref="R59:S59"/>
    <mergeCell ref="X61:Z61"/>
    <mergeCell ref="Q41:S41"/>
    <mergeCell ref="Y49:Z49"/>
    <mergeCell ref="X51:Z51"/>
    <mergeCell ref="AP51:AR51"/>
    <mergeCell ref="Y59:Z59"/>
    <mergeCell ref="B36:B45"/>
    <mergeCell ref="B46:B55"/>
    <mergeCell ref="B16:B25"/>
    <mergeCell ref="G16:I16"/>
    <mergeCell ref="C25:I25"/>
    <mergeCell ref="G31:I31"/>
    <mergeCell ref="F39:I39"/>
    <mergeCell ref="C40:I40"/>
    <mergeCell ref="D39:E39"/>
    <mergeCell ref="C36:E36"/>
    <mergeCell ref="B56:B65"/>
    <mergeCell ref="AO54:AR54"/>
    <mergeCell ref="G56:I56"/>
    <mergeCell ref="AE66:AG66"/>
    <mergeCell ref="AI66:AK66"/>
    <mergeCell ref="AH59:AK59"/>
    <mergeCell ref="X60:AD60"/>
    <mergeCell ref="J56:L56"/>
    <mergeCell ref="Q65:W65"/>
    <mergeCell ref="X65:AD65"/>
    <mergeCell ref="Q66:S66"/>
    <mergeCell ref="C60:I60"/>
    <mergeCell ref="J60:P60"/>
    <mergeCell ref="Q60:W60"/>
    <mergeCell ref="U56:W56"/>
    <mergeCell ref="T59:W59"/>
    <mergeCell ref="C66:E66"/>
    <mergeCell ref="G66:I66"/>
    <mergeCell ref="J66:L66"/>
    <mergeCell ref="N66:P66"/>
    <mergeCell ref="M29:P29"/>
    <mergeCell ref="AF64:AG64"/>
    <mergeCell ref="X56:Z56"/>
    <mergeCell ref="N61:P61"/>
    <mergeCell ref="N56:P56"/>
    <mergeCell ref="Y64:Z64"/>
    <mergeCell ref="AA64:AD64"/>
    <mergeCell ref="Q50:W50"/>
    <mergeCell ref="AE61:AG61"/>
    <mergeCell ref="R49:S49"/>
    <mergeCell ref="F29:I29"/>
    <mergeCell ref="J30:P30"/>
    <mergeCell ref="K49:L49"/>
    <mergeCell ref="M44:P44"/>
    <mergeCell ref="J45:P45"/>
    <mergeCell ref="F34:I34"/>
    <mergeCell ref="C35:I35"/>
    <mergeCell ref="K39:L39"/>
    <mergeCell ref="J41:L41"/>
    <mergeCell ref="N41:P41"/>
    <mergeCell ref="K54:L54"/>
    <mergeCell ref="J51:L51"/>
    <mergeCell ref="M54:P54"/>
    <mergeCell ref="F54:I54"/>
    <mergeCell ref="J50:P50"/>
    <mergeCell ref="T44:W44"/>
    <mergeCell ref="U46:W46"/>
    <mergeCell ref="N51:P51"/>
    <mergeCell ref="Q46:S46"/>
    <mergeCell ref="Q51:S51"/>
    <mergeCell ref="C5:I5"/>
    <mergeCell ref="J5:P5"/>
    <mergeCell ref="Q5:W5"/>
    <mergeCell ref="R39:S39"/>
    <mergeCell ref="D34:E34"/>
    <mergeCell ref="F44:I44"/>
    <mergeCell ref="J26:L26"/>
    <mergeCell ref="C26:E26"/>
    <mergeCell ref="D29:E29"/>
    <mergeCell ref="C41:E41"/>
    <mergeCell ref="X5:AD5"/>
    <mergeCell ref="AP66:AR66"/>
    <mergeCell ref="AE5:AK5"/>
    <mergeCell ref="AL5:AR5"/>
    <mergeCell ref="AA9:AD9"/>
    <mergeCell ref="X10:AD10"/>
    <mergeCell ref="AB26:AD26"/>
    <mergeCell ref="AE56:AG56"/>
    <mergeCell ref="AH19:AK19"/>
    <mergeCell ref="AA59:AD59"/>
    <mergeCell ref="AW46:AW55"/>
    <mergeCell ref="AW56:AW65"/>
    <mergeCell ref="X25:AD25"/>
    <mergeCell ref="Y19:Z19"/>
    <mergeCell ref="AO44:AR44"/>
    <mergeCell ref="AI41:AK41"/>
    <mergeCell ref="AL41:AN41"/>
    <mergeCell ref="Y34:Z34"/>
    <mergeCell ref="AE30:AK30"/>
    <mergeCell ref="AB51:AD51"/>
    <mergeCell ref="X15:AD15"/>
    <mergeCell ref="AL21:AN21"/>
    <mergeCell ref="AE20:AK20"/>
    <mergeCell ref="AE25:AK25"/>
    <mergeCell ref="AF24:AG24"/>
    <mergeCell ref="AH24:AK24"/>
    <mergeCell ref="AI21:AK21"/>
    <mergeCell ref="AL25:AR25"/>
    <mergeCell ref="AM24:AN24"/>
    <mergeCell ref="X21:Z21"/>
    <mergeCell ref="AI6:AK6"/>
    <mergeCell ref="AB6:AD6"/>
    <mergeCell ref="AL6:AN6"/>
    <mergeCell ref="B4:AS4"/>
    <mergeCell ref="AE35:AK35"/>
    <mergeCell ref="AL35:AR35"/>
    <mergeCell ref="U6:W6"/>
    <mergeCell ref="Q6:S6"/>
    <mergeCell ref="X6:Z6"/>
    <mergeCell ref="AE16:AG16"/>
    <mergeCell ref="AL66:AN66"/>
    <mergeCell ref="AB66:AD66"/>
    <mergeCell ref="U66:W66"/>
    <mergeCell ref="X66:Z66"/>
    <mergeCell ref="AL45:AR45"/>
    <mergeCell ref="U51:W51"/>
    <mergeCell ref="X50:AD50"/>
    <mergeCell ref="AH64:AK64"/>
    <mergeCell ref="AI56:AK56"/>
    <mergeCell ref="AF59:AG59"/>
    <mergeCell ref="AH29:AK29"/>
    <mergeCell ref="X26:Z26"/>
    <mergeCell ref="Y29:Z29"/>
    <mergeCell ref="AM39:AN39"/>
    <mergeCell ref="AH34:AK34"/>
    <mergeCell ref="AL30:AR30"/>
    <mergeCell ref="AA29:AD29"/>
    <mergeCell ref="AM29:AN29"/>
    <mergeCell ref="AL26:AN26"/>
    <mergeCell ref="AE26:AG26"/>
    <mergeCell ref="AI26:AK26"/>
    <mergeCell ref="AP41:AR41"/>
    <mergeCell ref="Y54:Z54"/>
    <mergeCell ref="X55:AD55"/>
    <mergeCell ref="AL55:AR55"/>
    <mergeCell ref="X31:Z31"/>
    <mergeCell ref="AO49:AR49"/>
    <mergeCell ref="AE45:AK45"/>
    <mergeCell ref="AF44:AG44"/>
    <mergeCell ref="AM54:AN54"/>
    <mergeCell ref="G36:I36"/>
    <mergeCell ref="K34:L34"/>
    <mergeCell ref="G41:I41"/>
    <mergeCell ref="C31:E31"/>
    <mergeCell ref="C30:I30"/>
    <mergeCell ref="U36:W36"/>
    <mergeCell ref="U41:W41"/>
    <mergeCell ref="N36:P36"/>
    <mergeCell ref="J35:P35"/>
    <mergeCell ref="M39:P39"/>
    <mergeCell ref="C45:I45"/>
    <mergeCell ref="C46:E46"/>
    <mergeCell ref="G46:I46"/>
    <mergeCell ref="J46:L46"/>
    <mergeCell ref="R44:S44"/>
    <mergeCell ref="N46:P46"/>
    <mergeCell ref="D44:E44"/>
    <mergeCell ref="K44:L44"/>
    <mergeCell ref="F49:I49"/>
    <mergeCell ref="C56:E56"/>
    <mergeCell ref="D49:E49"/>
    <mergeCell ref="D54:E54"/>
    <mergeCell ref="G61:I61"/>
    <mergeCell ref="C51:E51"/>
    <mergeCell ref="G51:I51"/>
    <mergeCell ref="C50:I50"/>
    <mergeCell ref="AE60:AK60"/>
    <mergeCell ref="AU6:AU15"/>
    <mergeCell ref="AT4:AW4"/>
    <mergeCell ref="AV26:AV35"/>
    <mergeCell ref="AV6:AV15"/>
    <mergeCell ref="AT16:AT25"/>
    <mergeCell ref="AU16:AU25"/>
    <mergeCell ref="AV16:AV25"/>
    <mergeCell ref="AT56:AT65"/>
    <mergeCell ref="AU56:AU65"/>
    <mergeCell ref="AI61:AK61"/>
    <mergeCell ref="K64:L64"/>
    <mergeCell ref="R64:S64"/>
    <mergeCell ref="T64:W64"/>
    <mergeCell ref="J65:P65"/>
    <mergeCell ref="C55:I55"/>
    <mergeCell ref="K59:L59"/>
    <mergeCell ref="J61:L61"/>
    <mergeCell ref="M64:P64"/>
    <mergeCell ref="M59:P59"/>
    <mergeCell ref="D64:E64"/>
    <mergeCell ref="F59:I59"/>
    <mergeCell ref="J55:P55"/>
    <mergeCell ref="U61:W61"/>
    <mergeCell ref="Q61:S61"/>
    <mergeCell ref="F64:I64"/>
    <mergeCell ref="Q55:W55"/>
    <mergeCell ref="D59:E59"/>
    <mergeCell ref="C61:E61"/>
    <mergeCell ref="Q56:S56"/>
    <mergeCell ref="C65:I65"/>
    <mergeCell ref="AU36:AU45"/>
    <mergeCell ref="AV36:AV45"/>
    <mergeCell ref="AS46:AS55"/>
    <mergeCell ref="AT46:AT55"/>
    <mergeCell ref="AU46:AU55"/>
    <mergeCell ref="AV46:AV55"/>
    <mergeCell ref="AS36:AS45"/>
    <mergeCell ref="AT36:AT45"/>
    <mergeCell ref="AS56:AS65"/>
    <mergeCell ref="AV56:AV65"/>
    <mergeCell ref="BA5:BB5"/>
    <mergeCell ref="BB6:BB15"/>
    <mergeCell ref="BB16:BB25"/>
    <mergeCell ref="BB26:BB35"/>
    <mergeCell ref="BB36:BB45"/>
    <mergeCell ref="BB46:BB55"/>
    <mergeCell ref="BB56:BB65"/>
    <mergeCell ref="AW6:AW15"/>
    <mergeCell ref="AW16:AW25"/>
  </mergeCells>
  <printOptions horizontalCentered="1"/>
  <pageMargins left="0.3937007874015748" right="0" top="0" bottom="0" header="0" footer="0"/>
  <pageSetup horizontalDpi="300" verticalDpi="300" orientation="portrait" paperSize="9" scale="1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AY81"/>
  <sheetViews>
    <sheetView view="pageBreakPreview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0.00390625" style="9" customWidth="1"/>
    <col min="2" max="2" width="0.74609375" style="9" customWidth="1"/>
    <col min="3" max="3" width="0.6171875" style="9" customWidth="1"/>
    <col min="4" max="4" width="1.875" style="9" customWidth="1"/>
    <col min="5" max="5" width="2.625" style="9" customWidth="1"/>
    <col min="6" max="6" width="1.875" style="9" customWidth="1"/>
    <col min="7" max="7" width="0.6171875" style="9" customWidth="1"/>
    <col min="8" max="8" width="0.74609375" style="9" customWidth="1"/>
    <col min="9" max="9" width="0.74609375" style="10" customWidth="1"/>
    <col min="10" max="10" width="0.6171875" style="9" customWidth="1"/>
    <col min="11" max="11" width="1.875" style="9" customWidth="1"/>
    <col min="12" max="12" width="2.625" style="9" customWidth="1"/>
    <col min="13" max="13" width="1.875" style="9" customWidth="1"/>
    <col min="14" max="14" width="0.6171875" style="9" customWidth="1"/>
    <col min="15" max="15" width="0.74609375" style="10" customWidth="1"/>
    <col min="16" max="16" width="0.74609375" style="9" customWidth="1"/>
    <col min="17" max="17" width="0.6171875" style="9" customWidth="1"/>
    <col min="18" max="18" width="1.875" style="9" customWidth="1"/>
    <col min="19" max="19" width="2.625" style="9" customWidth="1"/>
    <col min="20" max="20" width="1.875" style="9" customWidth="1"/>
    <col min="21" max="21" width="0.6171875" style="9" customWidth="1"/>
    <col min="22" max="23" width="0.74609375" style="9" customWidth="1"/>
    <col min="24" max="24" width="0.6171875" style="9" customWidth="1"/>
    <col min="25" max="25" width="1.875" style="9" customWidth="1"/>
    <col min="26" max="26" width="2.625" style="9" customWidth="1"/>
    <col min="27" max="27" width="1.875" style="9" customWidth="1"/>
    <col min="28" max="28" width="0.6171875" style="9" customWidth="1"/>
    <col min="29" max="30" width="0.74609375" style="9" customWidth="1"/>
    <col min="31" max="31" width="0.6171875" style="9" customWidth="1"/>
    <col min="32" max="32" width="1.875" style="9" customWidth="1"/>
    <col min="33" max="33" width="2.625" style="9" customWidth="1"/>
    <col min="34" max="34" width="1.875" style="9" customWidth="1"/>
    <col min="35" max="35" width="0.6171875" style="9" customWidth="1"/>
    <col min="36" max="37" width="0.74609375" style="9" customWidth="1"/>
    <col min="38" max="38" width="0.6171875" style="9" customWidth="1"/>
    <col min="39" max="39" width="1.875" style="9" customWidth="1"/>
    <col min="40" max="40" width="2.625" style="9" customWidth="1"/>
    <col min="41" max="41" width="1.875" style="9" customWidth="1"/>
    <col min="42" max="42" width="0.6171875" style="9" customWidth="1"/>
    <col min="43" max="43" width="0.74609375" style="9" customWidth="1"/>
    <col min="44" max="48" width="3.75390625" style="1" customWidth="1"/>
    <col min="49" max="49" width="7.875" style="1" customWidth="1"/>
    <col min="50" max="50" width="3.75390625" style="1" customWidth="1"/>
    <col min="51" max="51" width="5.75390625" style="1" customWidth="1"/>
    <col min="52" max="16384" width="9.00390625" style="1" customWidth="1"/>
  </cols>
  <sheetData>
    <row r="1" spans="1:49" ht="20.25" customHeight="1">
      <c r="A1" s="20" t="s">
        <v>166</v>
      </c>
      <c r="R1" s="79" t="s">
        <v>15</v>
      </c>
      <c r="AS1" s="134"/>
      <c r="AU1" s="16"/>
      <c r="AV1" s="16"/>
      <c r="AW1" s="16"/>
    </row>
    <row r="2" ht="12.75" customHeight="1">
      <c r="A2" s="21" t="s">
        <v>7</v>
      </c>
    </row>
    <row r="3" spans="1:48" ht="26.25" customHeight="1" thickBot="1">
      <c r="A3" s="537" t="str">
        <f>'結果'!B4</f>
        <v>　第４回 石川県ユース(Ｕ－1３)サッカーリーグ 2014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60" t="str">
        <f>'結果'!AT4</f>
        <v>≪Ａ≫</v>
      </c>
      <c r="AT3" s="560"/>
      <c r="AU3" s="560"/>
      <c r="AV3" s="560"/>
    </row>
    <row r="4" spans="1:51" s="70" customFormat="1" ht="23.25" customHeight="1" thickBot="1">
      <c r="A4" s="22" t="str">
        <f>'結果'!B5</f>
        <v>Ａ</v>
      </c>
      <c r="B4" s="539" t="str">
        <f>A5</f>
        <v>FC.SOUTHERN</v>
      </c>
      <c r="C4" s="540"/>
      <c r="D4" s="540"/>
      <c r="E4" s="540"/>
      <c r="F4" s="540"/>
      <c r="G4" s="540"/>
      <c r="H4" s="540"/>
      <c r="I4" s="539" t="str">
        <f>A15</f>
        <v>ＦＣ．ＴＯＮ</v>
      </c>
      <c r="J4" s="540"/>
      <c r="K4" s="540"/>
      <c r="L4" s="540"/>
      <c r="M4" s="540"/>
      <c r="N4" s="540"/>
      <c r="O4" s="540"/>
      <c r="P4" s="539" t="str">
        <f>A25</f>
        <v>ＦＣ小松</v>
      </c>
      <c r="Q4" s="540"/>
      <c r="R4" s="540"/>
      <c r="S4" s="540"/>
      <c r="T4" s="540"/>
      <c r="U4" s="540"/>
      <c r="V4" s="540"/>
      <c r="W4" s="539" t="str">
        <f>A35</f>
        <v>根上中学校</v>
      </c>
      <c r="X4" s="540"/>
      <c r="Y4" s="540"/>
      <c r="Z4" s="540"/>
      <c r="AA4" s="540"/>
      <c r="AB4" s="540"/>
      <c r="AC4" s="540"/>
      <c r="AD4" s="539" t="str">
        <f>A45</f>
        <v>河北台ＳＣ</v>
      </c>
      <c r="AE4" s="540"/>
      <c r="AF4" s="540"/>
      <c r="AG4" s="540"/>
      <c r="AH4" s="540"/>
      <c r="AI4" s="540"/>
      <c r="AJ4" s="540"/>
      <c r="AK4" s="539" t="str">
        <f>A55</f>
        <v>松任中学校</v>
      </c>
      <c r="AL4" s="540"/>
      <c r="AM4" s="540"/>
      <c r="AN4" s="540"/>
      <c r="AO4" s="540"/>
      <c r="AP4" s="540"/>
      <c r="AQ4" s="540"/>
      <c r="AR4" s="13" t="s">
        <v>5</v>
      </c>
      <c r="AS4" s="12" t="s">
        <v>0</v>
      </c>
      <c r="AT4" s="12" t="s">
        <v>1</v>
      </c>
      <c r="AU4" s="14" t="s">
        <v>6</v>
      </c>
      <c r="AV4" s="15" t="s">
        <v>2</v>
      </c>
      <c r="AW4" s="110" t="s">
        <v>2</v>
      </c>
      <c r="AX4" s="120" t="s">
        <v>2</v>
      </c>
      <c r="AY4" s="70" t="s">
        <v>22</v>
      </c>
    </row>
    <row r="5" spans="1:51" ht="11.25" customHeight="1" thickTop="1">
      <c r="A5" s="554" t="str">
        <f>INDEX('結果'!$B$6:$AX$65,MATCH($AX5,'結果'!BB$6:BB$65,0),1)</f>
        <v>FC.SOUTHERN</v>
      </c>
      <c r="B5" s="97"/>
      <c r="C5" s="98"/>
      <c r="D5" s="98"/>
      <c r="E5" s="98"/>
      <c r="F5" s="98"/>
      <c r="G5" s="98"/>
      <c r="H5" s="99"/>
      <c r="I5" s="536">
        <f>IF(K7="","",K6+K7)</f>
        <v>0</v>
      </c>
      <c r="J5" s="534"/>
      <c r="K5" s="534"/>
      <c r="L5" s="1" t="str">
        <f>IF(K7="","",IF(I5=M5,"△",IF(I5&gt;M5,"○","●")))</f>
        <v>●</v>
      </c>
      <c r="M5" s="534">
        <f>IF(M7="","",M6+M7)</f>
        <v>2</v>
      </c>
      <c r="N5" s="534"/>
      <c r="O5" s="535"/>
      <c r="P5" s="536">
        <f>IF(R7="","",R6+R7)</f>
        <v>4</v>
      </c>
      <c r="Q5" s="534"/>
      <c r="R5" s="534"/>
      <c r="S5" s="1" t="str">
        <f>IF(R7="","",IF(P5=T5,"△",IF(P5&gt;T5,"○","●")))</f>
        <v>○</v>
      </c>
      <c r="T5" s="534">
        <f>IF(T7="","",T6+T7)</f>
        <v>2</v>
      </c>
      <c r="U5" s="534"/>
      <c r="V5" s="535"/>
      <c r="W5" s="536">
        <f>IF(Y7="","",Y6+Y7)</f>
        <v>9</v>
      </c>
      <c r="X5" s="534"/>
      <c r="Y5" s="534"/>
      <c r="Z5" s="1" t="str">
        <f>IF(Y7="","",IF(W5=AA5,"△",IF(W5&gt;AA5,"○","●")))</f>
        <v>○</v>
      </c>
      <c r="AA5" s="534">
        <f>IF(AA7="","",AA6+AA7)</f>
        <v>0</v>
      </c>
      <c r="AB5" s="534"/>
      <c r="AC5" s="535"/>
      <c r="AD5" s="536">
        <f>IF(AF7="","",AF6+AF7)</f>
        <v>12</v>
      </c>
      <c r="AE5" s="534"/>
      <c r="AF5" s="534"/>
      <c r="AG5" s="1" t="str">
        <f>IF(AF7="","",IF(AD5=AH5,"△",IF(AD5&gt;AH5,"○","●")))</f>
        <v>○</v>
      </c>
      <c r="AH5" s="534">
        <f>IF(AH7="","",AH6+AH7)</f>
        <v>0</v>
      </c>
      <c r="AI5" s="534"/>
      <c r="AJ5" s="535"/>
      <c r="AK5" s="536">
        <f>IF(AM7="","",AM6+AM7)</f>
        <v>7</v>
      </c>
      <c r="AL5" s="534"/>
      <c r="AM5" s="534"/>
      <c r="AN5" s="1" t="str">
        <f>IF(AM7="","",IF(AK5=AO5,"△",IF(AK5&gt;AO5,"○","●")))</f>
        <v>○</v>
      </c>
      <c r="AO5" s="534">
        <f>IF(AO7="","",AO6+AO7)</f>
        <v>0</v>
      </c>
      <c r="AP5" s="534"/>
      <c r="AQ5" s="535"/>
      <c r="AR5" s="551">
        <f>IF(COUNT(B6:AQ6)=0,"",COUNTIF(E$5:E$64,"●")*3+COUNTIF(E$5:E$64,"△"))</f>
        <v>18</v>
      </c>
      <c r="AS5" s="522">
        <f>IF(AR5="","",SUM(F$5:F$64)/2)</f>
        <v>41</v>
      </c>
      <c r="AT5" s="522">
        <f>IF(AR5="","",SUM(B$5:B$64))</f>
        <v>4</v>
      </c>
      <c r="AU5" s="524">
        <f>IF(AR5="","",AS5-AT5)</f>
        <v>37</v>
      </c>
      <c r="AV5" s="497">
        <f>IF(AR5="","",RANK(AW5,AW$5:AW$64))</f>
        <v>1</v>
      </c>
      <c r="AW5" s="62">
        <f>IF(AR5="",-ROW()*10000,AR5*10000+AU5*100+AS5+COUNTIF(B5:AQ5,"&gt;=0")/20)</f>
        <v>183741.5</v>
      </c>
      <c r="AX5" s="555">
        <v>1</v>
      </c>
      <c r="AY5" s="1">
        <f>INDEX('結果'!AY$6:AZ$65,MATCH(AX5,'結果'!BB$6:BB$65,0),2)</f>
        <v>31</v>
      </c>
    </row>
    <row r="6" spans="1:50" ht="10.5" customHeight="1">
      <c r="A6" s="542"/>
      <c r="B6" s="19"/>
      <c r="C6" s="3"/>
      <c r="D6" s="3"/>
      <c r="E6" s="3"/>
      <c r="F6" s="3"/>
      <c r="G6" s="3"/>
      <c r="H6" s="4"/>
      <c r="I6" s="23"/>
      <c r="J6" s="24"/>
      <c r="K6" s="25">
        <f>IF(INDEX('結果'!$C$6:$AX$65,$AY5+1,I$67+2)="","",INDEX('結果'!$C$6:$AX$65,$AY5+1,I$67+2))</f>
        <v>0</v>
      </c>
      <c r="L6" s="26" t="s">
        <v>3</v>
      </c>
      <c r="M6" s="27">
        <f>IF(K6="","",INDEX('結果'!$C$6:$AX$65,$AY5+1,I$67+4))</f>
        <v>2</v>
      </c>
      <c r="N6" s="28"/>
      <c r="O6" s="29"/>
      <c r="P6" s="23"/>
      <c r="Q6" s="24"/>
      <c r="R6" s="25">
        <f>IF(INDEX('結果'!$C$6:$AX$65,$AY5+1,P$67+2)="","",INDEX('結果'!$C$6:$AX$65,$AY5+1,P$67+2))</f>
        <v>0</v>
      </c>
      <c r="S6" s="26" t="s">
        <v>3</v>
      </c>
      <c r="T6" s="27">
        <f>IF(R6="","",INDEX('結果'!$C$6:$AX$65,$AY5+1,P$67+4))</f>
        <v>1</v>
      </c>
      <c r="U6" s="28"/>
      <c r="V6" s="29"/>
      <c r="W6" s="23"/>
      <c r="X6" s="24"/>
      <c r="Y6" s="25">
        <f>IF(INDEX('結果'!$C$6:$AX$65,$AY5+1,W$67+2)="","",INDEX('結果'!$C$6:$AX$65,$AY5+1,W$67+2))</f>
        <v>6</v>
      </c>
      <c r="Z6" s="26" t="s">
        <v>3</v>
      </c>
      <c r="AA6" s="27">
        <f>IF(Y6="","",INDEX('結果'!$C$6:$AX$65,$AY5+1,W$67+4))</f>
        <v>0</v>
      </c>
      <c r="AB6" s="28"/>
      <c r="AC6" s="29"/>
      <c r="AD6" s="23"/>
      <c r="AE6" s="24"/>
      <c r="AF6" s="25">
        <f>IF(INDEX('結果'!$C$6:$AX$65,$AY5+1,AD$67+2)="","",INDEX('結果'!$C$6:$AX$65,$AY5+1,AD$67+2))</f>
        <v>7</v>
      </c>
      <c r="AG6" s="26" t="s">
        <v>3</v>
      </c>
      <c r="AH6" s="27">
        <f>IF(AF6="","",INDEX('結果'!$C$6:$AX$65,$AY5+1,AD$67+4))</f>
        <v>0</v>
      </c>
      <c r="AI6" s="28"/>
      <c r="AJ6" s="29"/>
      <c r="AK6" s="23"/>
      <c r="AL6" s="24"/>
      <c r="AM6" s="25">
        <f>IF(INDEX('結果'!$C$6:$AX$65,$AY5+1,AK$67+2)="","",INDEX('結果'!$C$6:$AX$65,$AY5+1,AK$67+2))</f>
        <v>3</v>
      </c>
      <c r="AN6" s="26" t="s">
        <v>3</v>
      </c>
      <c r="AO6" s="27">
        <f>IF(AM6="","",INDEX('結果'!$C$6:$AX$65,$AY5+1,AK$67+4))</f>
        <v>0</v>
      </c>
      <c r="AP6" s="28"/>
      <c r="AQ6" s="29"/>
      <c r="AR6" s="509"/>
      <c r="AS6" s="505"/>
      <c r="AT6" s="505"/>
      <c r="AU6" s="489"/>
      <c r="AV6" s="498"/>
      <c r="AW6" s="62"/>
      <c r="AX6" s="555"/>
    </row>
    <row r="7" spans="1:50" ht="10.5" customHeight="1">
      <c r="A7" s="542"/>
      <c r="B7" s="19"/>
      <c r="C7" s="3"/>
      <c r="D7" s="3"/>
      <c r="E7" s="3"/>
      <c r="F7" s="3"/>
      <c r="G7" s="3"/>
      <c r="H7" s="4"/>
      <c r="I7" s="23"/>
      <c r="J7" s="30"/>
      <c r="K7" s="25">
        <f>IF(K6="","",INDEX('結果'!$C$6:$AX$65,$AY5+2,I$67+2))</f>
        <v>0</v>
      </c>
      <c r="L7" s="26" t="s">
        <v>3</v>
      </c>
      <c r="M7" s="27">
        <f>IF(K7="","",INDEX('結果'!$C$6:$AX$65,$AY5+2,I$67+4))</f>
        <v>0</v>
      </c>
      <c r="N7" s="31"/>
      <c r="O7" s="29"/>
      <c r="P7" s="23"/>
      <c r="Q7" s="30"/>
      <c r="R7" s="25">
        <f>IF(R6="","",INDEX('結果'!$C$6:$AX$65,$AY5+2,P$67+2))</f>
        <v>4</v>
      </c>
      <c r="S7" s="26" t="s">
        <v>3</v>
      </c>
      <c r="T7" s="27">
        <f>IF(R7="","",INDEX('結果'!$C$6:$AX$65,$AY5+2,P$67+4))</f>
        <v>1</v>
      </c>
      <c r="U7" s="31"/>
      <c r="V7" s="29"/>
      <c r="W7" s="23"/>
      <c r="X7" s="30"/>
      <c r="Y7" s="25">
        <f>IF(Y6="","",INDEX('結果'!$C$6:$AX$65,$AY5+2,W$67+2))</f>
        <v>3</v>
      </c>
      <c r="Z7" s="26" t="s">
        <v>3</v>
      </c>
      <c r="AA7" s="27">
        <f>IF(Y7="","",INDEX('結果'!$C$6:$AX$65,$AY5+2,W$67+4))</f>
        <v>0</v>
      </c>
      <c r="AB7" s="31"/>
      <c r="AC7" s="29"/>
      <c r="AD7" s="23"/>
      <c r="AE7" s="30"/>
      <c r="AF7" s="25">
        <f>IF(AF6="","",INDEX('結果'!$C$6:$AX$65,$AY5+2,AD$67+2))</f>
        <v>5</v>
      </c>
      <c r="AG7" s="26" t="s">
        <v>3</v>
      </c>
      <c r="AH7" s="27">
        <f>IF(AF7="","",INDEX('結果'!$C$6:$AX$65,$AY5+2,AD$67+4))</f>
        <v>0</v>
      </c>
      <c r="AI7" s="31"/>
      <c r="AJ7" s="29"/>
      <c r="AK7" s="23"/>
      <c r="AL7" s="30"/>
      <c r="AM7" s="25">
        <f>IF(AM6="","",INDEX('結果'!$C$6:$AX$65,$AY5+2,AK$67+2))</f>
        <v>4</v>
      </c>
      <c r="AN7" s="26" t="s">
        <v>3</v>
      </c>
      <c r="AO7" s="27">
        <f>IF(AM7="","",INDEX('結果'!$C$6:$AX$65,$AY5+2,AK$67+4))</f>
        <v>0</v>
      </c>
      <c r="AP7" s="31"/>
      <c r="AQ7" s="29"/>
      <c r="AR7" s="509"/>
      <c r="AS7" s="505"/>
      <c r="AT7" s="505"/>
      <c r="AU7" s="489"/>
      <c r="AV7" s="498"/>
      <c r="AW7" s="62"/>
      <c r="AX7" s="555"/>
    </row>
    <row r="8" spans="1:50" ht="11.25" customHeight="1">
      <c r="A8" s="542"/>
      <c r="B8" s="19"/>
      <c r="C8" s="3"/>
      <c r="D8" s="3"/>
      <c r="E8" s="3"/>
      <c r="F8" s="3"/>
      <c r="G8" s="3"/>
      <c r="H8" s="4"/>
      <c r="I8" s="95"/>
      <c r="J8" s="512" t="str">
        <f>IF(I9="","",INDEX('結果'!$C$6:$AX$65,$AY5+3,I$67+1))</f>
        <v>⑥</v>
      </c>
      <c r="K8" s="512"/>
      <c r="L8" s="528">
        <f>IF(I9="","",INDEX('結果'!$C$6:$AX$65,$AY5+3,I$67+3))</f>
        <v>41818</v>
      </c>
      <c r="M8" s="528"/>
      <c r="N8" s="528"/>
      <c r="O8" s="529"/>
      <c r="P8" s="95"/>
      <c r="Q8" s="512" t="str">
        <f>IF(P9="","",INDEX('結果'!$C$6:$AX$65,$AY5+3,P$67+1))</f>
        <v>⑤</v>
      </c>
      <c r="R8" s="512"/>
      <c r="S8" s="528">
        <f>IF(P9="","",INDEX('結果'!$C$6:$AX$65,$AY5+3,P$67+3))</f>
        <v>41790</v>
      </c>
      <c r="T8" s="528"/>
      <c r="U8" s="528"/>
      <c r="V8" s="529"/>
      <c r="W8" s="95"/>
      <c r="X8" s="512" t="str">
        <f>IF(W9="","",INDEX('結果'!$C$6:$AX$65,$AY5+3,W$67+1))</f>
        <v>⑤</v>
      </c>
      <c r="Y8" s="512"/>
      <c r="Z8" s="528">
        <f>IF(W9="","",INDEX('結果'!$C$6:$AX$65,$AY5+3,W$67+3))</f>
        <v>41791</v>
      </c>
      <c r="AA8" s="528"/>
      <c r="AB8" s="528"/>
      <c r="AC8" s="529"/>
      <c r="AD8" s="95"/>
      <c r="AE8" s="512" t="str">
        <f>IF(AD9="","",INDEX('結果'!$C$6:$AX$65,$AY5+3,AD$67+1))</f>
        <v>④</v>
      </c>
      <c r="AF8" s="512"/>
      <c r="AG8" s="528">
        <f>IF(AD9="","",INDEX('結果'!$C$6:$AX$65,$AY5+3,AD$67+3))</f>
        <v>41784</v>
      </c>
      <c r="AH8" s="528"/>
      <c r="AI8" s="528"/>
      <c r="AJ8" s="529"/>
      <c r="AK8" s="95"/>
      <c r="AL8" s="512" t="str">
        <f>IF(AK9="","",INDEX('結果'!$C$6:$AX$65,$AY5+3,AK$67+1))</f>
        <v>⑤</v>
      </c>
      <c r="AM8" s="512"/>
      <c r="AN8" s="528">
        <f>IF(AK9="","",INDEX('結果'!$C$6:$AX$65,$AY5+3,AK$67+3))</f>
        <v>41797</v>
      </c>
      <c r="AO8" s="528"/>
      <c r="AP8" s="528"/>
      <c r="AQ8" s="529"/>
      <c r="AR8" s="509"/>
      <c r="AS8" s="505"/>
      <c r="AT8" s="505"/>
      <c r="AU8" s="489"/>
      <c r="AV8" s="498"/>
      <c r="AW8" s="62"/>
      <c r="AX8" s="555"/>
    </row>
    <row r="9" spans="1:50" ht="11.25" customHeight="1">
      <c r="A9" s="542"/>
      <c r="B9" s="19"/>
      <c r="C9" s="3"/>
      <c r="D9" s="3"/>
      <c r="E9" s="3"/>
      <c r="F9" s="3"/>
      <c r="G9" s="3"/>
      <c r="H9" s="4"/>
      <c r="I9" s="531" t="str">
        <f>IF(INDEX('結果'!$C$6:$AX$65,$AY5+4,I$67)="","",INDEX('結果'!$C$6:$AX$65,$AY5+4,I$67))</f>
        <v>北部公園Ｇ</v>
      </c>
      <c r="J9" s="512"/>
      <c r="K9" s="512"/>
      <c r="L9" s="512"/>
      <c r="M9" s="512"/>
      <c r="N9" s="512"/>
      <c r="O9" s="532"/>
      <c r="P9" s="531" t="str">
        <f>IF(INDEX('結果'!$C$6:$AX$65,$AY5+4,P$67)="","",INDEX('結果'!$C$6:$AX$65,$AY5+4,P$67))</f>
        <v>ドーム</v>
      </c>
      <c r="Q9" s="512"/>
      <c r="R9" s="512"/>
      <c r="S9" s="512"/>
      <c r="T9" s="512"/>
      <c r="U9" s="512"/>
      <c r="V9" s="532"/>
      <c r="W9" s="531" t="str">
        <f>IF(INDEX('結果'!$C$6:$AX$65,$AY5+4,W$67)="","",INDEX('結果'!$C$6:$AX$65,$AY5+4,W$67))</f>
        <v>松任中Ｇ</v>
      </c>
      <c r="X9" s="512"/>
      <c r="Y9" s="512"/>
      <c r="Z9" s="512"/>
      <c r="AA9" s="512"/>
      <c r="AB9" s="512"/>
      <c r="AC9" s="532"/>
      <c r="AD9" s="531" t="str">
        <f>IF(INDEX('結果'!$C$6:$AX$65,$AY5+4,AD$67)="","",INDEX('結果'!$C$6:$AX$65,$AY5+4,AD$67))</f>
        <v>ドーム</v>
      </c>
      <c r="AE9" s="512"/>
      <c r="AF9" s="512"/>
      <c r="AG9" s="512"/>
      <c r="AH9" s="512"/>
      <c r="AI9" s="512"/>
      <c r="AJ9" s="532"/>
      <c r="AK9" s="531" t="str">
        <f>IF(INDEX('結果'!$C$6:$AX$65,$AY5+4,AK$67)="","",INDEX('結果'!$C$6:$AX$65,$AY5+4,AK$67))</f>
        <v>高岡中Ｇ</v>
      </c>
      <c r="AL9" s="512"/>
      <c r="AM9" s="512"/>
      <c r="AN9" s="512"/>
      <c r="AO9" s="512"/>
      <c r="AP9" s="512"/>
      <c r="AQ9" s="532"/>
      <c r="AR9" s="509"/>
      <c r="AS9" s="505"/>
      <c r="AT9" s="505"/>
      <c r="AU9" s="489"/>
      <c r="AV9" s="498"/>
      <c r="AW9" s="62"/>
      <c r="AX9" s="555"/>
    </row>
    <row r="10" spans="1:50" ht="11.25" customHeight="1">
      <c r="A10" s="542"/>
      <c r="B10" s="19"/>
      <c r="C10" s="3"/>
      <c r="D10" s="3"/>
      <c r="E10" s="3"/>
      <c r="F10" s="3"/>
      <c r="G10" s="3"/>
      <c r="H10" s="4"/>
      <c r="I10" s="558">
        <f>IF(K12="","",K11+K12)</f>
      </c>
      <c r="J10" s="556"/>
      <c r="K10" s="556"/>
      <c r="L10" s="32">
        <f>IF(K12="","",IF(I10=M10,"△",IF(I10&gt;M10,"○","●")))</f>
      </c>
      <c r="M10" s="556">
        <f>IF(M12="","",M11+M12)</f>
      </c>
      <c r="N10" s="556"/>
      <c r="O10" s="557"/>
      <c r="P10" s="558">
        <f>IF(R12="","",R11+R12)</f>
      </c>
      <c r="Q10" s="556"/>
      <c r="R10" s="556"/>
      <c r="S10" s="32">
        <f>IF(R12="","",IF(P10=T10,"△",IF(P10&gt;T10,"○","●")))</f>
      </c>
      <c r="T10" s="556">
        <f>IF(T12="","",T11+T12)</f>
      </c>
      <c r="U10" s="556"/>
      <c r="V10" s="557"/>
      <c r="W10" s="558">
        <f>IF(Y12="","",Y11+Y12)</f>
      </c>
      <c r="X10" s="556"/>
      <c r="Y10" s="556"/>
      <c r="Z10" s="32">
        <f>IF(Y12="","",IF(W10=AA10,"△",IF(W10&gt;AA10,"○","●")))</f>
      </c>
      <c r="AA10" s="556">
        <f>IF(AA12="","",AA11+AA12)</f>
      </c>
      <c r="AB10" s="556"/>
      <c r="AC10" s="557"/>
      <c r="AD10" s="558">
        <f>IF(AF12="","",AF11+AF12)</f>
        <v>6</v>
      </c>
      <c r="AE10" s="556"/>
      <c r="AF10" s="556"/>
      <c r="AG10" s="32" t="str">
        <f>IF(AF12="","",IF(AD10=AH10,"△",IF(AD10&gt;AH10,"○","●")))</f>
        <v>○</v>
      </c>
      <c r="AH10" s="556">
        <f>IF(AH12="","",AH11+AH12)</f>
        <v>0</v>
      </c>
      <c r="AI10" s="556"/>
      <c r="AJ10" s="557"/>
      <c r="AK10" s="558">
        <f>IF(AM12="","",AM11+AM12)</f>
        <v>3</v>
      </c>
      <c r="AL10" s="556"/>
      <c r="AM10" s="556"/>
      <c r="AN10" s="32" t="str">
        <f>IF(AM12="","",IF(AK10=AO10,"△",IF(AK10&gt;AO10,"○","●")))</f>
        <v>○</v>
      </c>
      <c r="AO10" s="556">
        <f>IF(AO12="","",AO11+AO12)</f>
        <v>0</v>
      </c>
      <c r="AP10" s="556"/>
      <c r="AQ10" s="557"/>
      <c r="AR10" s="509"/>
      <c r="AS10" s="505"/>
      <c r="AT10" s="505"/>
      <c r="AU10" s="489"/>
      <c r="AV10" s="498"/>
      <c r="AW10" s="62"/>
      <c r="AX10" s="555"/>
    </row>
    <row r="11" spans="1:50" ht="11.25" customHeight="1">
      <c r="A11" s="542"/>
      <c r="B11" s="3"/>
      <c r="C11" s="3"/>
      <c r="D11" s="3"/>
      <c r="E11" s="3"/>
      <c r="F11" s="3"/>
      <c r="G11" s="3"/>
      <c r="H11" s="4"/>
      <c r="I11" s="23"/>
      <c r="J11" s="24"/>
      <c r="K11" s="25">
        <f>IF(INDEX('結果'!$C$6:$AX$65,$AY5+6,I$67+2)="","",INDEX('結果'!$C$6:$AX$65,$AY5+6,I$67+2))</f>
      </c>
      <c r="L11" s="26" t="s">
        <v>3</v>
      </c>
      <c r="M11" s="27">
        <f>IF(K11="","",INDEX('結果'!$C$6:$AX$65,$AY5+6,I$67+4))</f>
      </c>
      <c r="N11" s="28"/>
      <c r="O11" s="29"/>
      <c r="P11" s="23"/>
      <c r="Q11" s="24"/>
      <c r="R11" s="25">
        <f>IF(INDEX('結果'!$C$6:$AX$65,$AY5+6,P$67+2)="","",INDEX('結果'!$C$6:$AX$65,$AY5+6,P$67+2))</f>
      </c>
      <c r="S11" s="26" t="s">
        <v>3</v>
      </c>
      <c r="T11" s="27">
        <f>IF(R11="","",INDEX('結果'!$C$6:$AX$65,$AY5+6,P$67+4))</f>
      </c>
      <c r="U11" s="28"/>
      <c r="V11" s="29"/>
      <c r="W11" s="23"/>
      <c r="X11" s="24"/>
      <c r="Y11" s="25">
        <f>IF(INDEX('結果'!$C$6:$AX$65,$AY5+6,W$67+2)="","",INDEX('結果'!$C$6:$AX$65,$AY5+6,W$67+2))</f>
      </c>
      <c r="Z11" s="26" t="s">
        <v>3</v>
      </c>
      <c r="AA11" s="27">
        <f>IF(Y11="","",INDEX('結果'!$C$6:$AX$65,$AY5+6,W$67+4))</f>
      </c>
      <c r="AB11" s="28"/>
      <c r="AC11" s="29"/>
      <c r="AD11" s="23"/>
      <c r="AE11" s="24"/>
      <c r="AF11" s="25">
        <f>IF(INDEX('結果'!$C$6:$AX$65,$AY5+6,AD$67+2)="","",INDEX('結果'!$C$6:$AX$65,$AY5+6,AD$67+2))</f>
        <v>1</v>
      </c>
      <c r="AG11" s="26" t="s">
        <v>3</v>
      </c>
      <c r="AH11" s="27">
        <f>IF(AF11="","",INDEX('結果'!$C$6:$AX$65,$AY5+6,AD$67+4))</f>
        <v>0</v>
      </c>
      <c r="AI11" s="28"/>
      <c r="AJ11" s="29"/>
      <c r="AK11" s="23"/>
      <c r="AL11" s="24"/>
      <c r="AM11" s="25">
        <f>IF(INDEX('結果'!$C$6:$AX$65,$AY5+6,AK$67+2)="","",INDEX('結果'!$C$6:$AX$65,$AY5+6,AK$67+2))</f>
        <v>2</v>
      </c>
      <c r="AN11" s="26" t="s">
        <v>3</v>
      </c>
      <c r="AO11" s="27">
        <f>IF(AM11="","",INDEX('結果'!$C$6:$AX$65,$AY5+6,AK$67+4))</f>
        <v>0</v>
      </c>
      <c r="AP11" s="28"/>
      <c r="AQ11" s="29"/>
      <c r="AR11" s="509"/>
      <c r="AS11" s="505"/>
      <c r="AT11" s="505"/>
      <c r="AU11" s="489"/>
      <c r="AV11" s="498"/>
      <c r="AW11" s="62"/>
      <c r="AX11" s="555"/>
    </row>
    <row r="12" spans="1:50" ht="11.25" customHeight="1">
      <c r="A12" s="542"/>
      <c r="B12" s="3"/>
      <c r="C12" s="3"/>
      <c r="D12" s="3"/>
      <c r="E12" s="3"/>
      <c r="F12" s="3"/>
      <c r="G12" s="3"/>
      <c r="H12" s="4"/>
      <c r="I12" s="23"/>
      <c r="J12" s="30"/>
      <c r="K12" s="25">
        <f>IF(K11="","",INDEX('結果'!$C$6:$AX$65,$AY5+7,I$67+2))</f>
      </c>
      <c r="L12" s="26" t="s">
        <v>3</v>
      </c>
      <c r="M12" s="27">
        <f>IF(K12="","",INDEX('結果'!$C$6:$AX$65,$AY5+7,I$67+4))</f>
      </c>
      <c r="N12" s="31"/>
      <c r="O12" s="29"/>
      <c r="P12" s="23"/>
      <c r="Q12" s="30"/>
      <c r="R12" s="25">
        <f>IF(R11="","",INDEX('結果'!$C$6:$AX$65,$AY5+7,P$67+2))</f>
      </c>
      <c r="S12" s="26" t="s">
        <v>3</v>
      </c>
      <c r="T12" s="27">
        <f>IF(R12="","",INDEX('結果'!$C$6:$AX$65,$AY5+7,P$67+4))</f>
      </c>
      <c r="U12" s="31"/>
      <c r="V12" s="29"/>
      <c r="W12" s="23"/>
      <c r="X12" s="30"/>
      <c r="Y12" s="25">
        <f>IF(Y11="","",INDEX('結果'!$C$6:$AX$65,$AY5+7,W$67+2))</f>
      </c>
      <c r="Z12" s="26" t="s">
        <v>3</v>
      </c>
      <c r="AA12" s="27">
        <f>IF(Y12="","",INDEX('結果'!$C$6:$AX$65,$AY5+7,W$67+4))</f>
      </c>
      <c r="AB12" s="31"/>
      <c r="AC12" s="29"/>
      <c r="AD12" s="23"/>
      <c r="AE12" s="30"/>
      <c r="AF12" s="25">
        <f>IF(AF11="","",INDEX('結果'!$C$6:$AX$65,$AY5+7,AD$67+2))</f>
        <v>5</v>
      </c>
      <c r="AG12" s="26" t="s">
        <v>3</v>
      </c>
      <c r="AH12" s="27">
        <f>IF(AF12="","",INDEX('結果'!$C$6:$AX$65,$AY5+7,AD$67+4))</f>
        <v>0</v>
      </c>
      <c r="AI12" s="31"/>
      <c r="AJ12" s="29"/>
      <c r="AK12" s="23"/>
      <c r="AL12" s="30"/>
      <c r="AM12" s="25">
        <f>IF(AM11="","",INDEX('結果'!$C$6:$AX$65,$AY5+7,AK$67+2))</f>
        <v>1</v>
      </c>
      <c r="AN12" s="26" t="s">
        <v>3</v>
      </c>
      <c r="AO12" s="27">
        <f>IF(AM12="","",INDEX('結果'!$C$6:$AX$65,$AY5+7,AK$67+4))</f>
        <v>0</v>
      </c>
      <c r="AP12" s="31"/>
      <c r="AQ12" s="29"/>
      <c r="AR12" s="509"/>
      <c r="AS12" s="505"/>
      <c r="AT12" s="505"/>
      <c r="AU12" s="489"/>
      <c r="AV12" s="498"/>
      <c r="AW12" s="62"/>
      <c r="AX12" s="555"/>
    </row>
    <row r="13" spans="1:50" ht="11.25" customHeight="1">
      <c r="A13" s="542"/>
      <c r="B13" s="3"/>
      <c r="C13" s="3"/>
      <c r="D13" s="3"/>
      <c r="E13" s="3"/>
      <c r="F13" s="3"/>
      <c r="G13" s="3"/>
      <c r="H13" s="4"/>
      <c r="I13" s="95"/>
      <c r="J13" s="512" t="str">
        <f>IF(I14="","",INDEX('結果'!$C$6:$AX$65,$AY5+8,I$67+1))</f>
        <v>⑫</v>
      </c>
      <c r="K13" s="512"/>
      <c r="L13" s="528">
        <f>IF(I14="","",INDEX('結果'!$C$6:$AX$65,$AY5+8,I$67+3))</f>
        <v>41916</v>
      </c>
      <c r="M13" s="528"/>
      <c r="N13" s="528"/>
      <c r="O13" s="529"/>
      <c r="P13" s="95"/>
      <c r="Q13" s="512" t="str">
        <f>IF(P14="","",INDEX('結果'!$C$6:$AX$65,$AY5+8,P$67+1))</f>
        <v>⑪</v>
      </c>
      <c r="R13" s="512"/>
      <c r="S13" s="528">
        <f>IF(P14="","",INDEX('結果'!$C$6:$AX$65,$AY5+8,P$67+3))</f>
        <v>41909</v>
      </c>
      <c r="T13" s="528"/>
      <c r="U13" s="528"/>
      <c r="V13" s="529"/>
      <c r="W13" s="95"/>
      <c r="X13" s="512" t="str">
        <f>IF(W14="","",INDEX('結果'!$C$6:$AX$65,$AY5+8,W$67+1))</f>
        <v>⑬</v>
      </c>
      <c r="Y13" s="512"/>
      <c r="Z13" s="528">
        <f>IF(W14="","",INDEX('結果'!$C$6:$AX$65,$AY5+8,W$67+3))</f>
        <v>41930</v>
      </c>
      <c r="AA13" s="528"/>
      <c r="AB13" s="528"/>
      <c r="AC13" s="529"/>
      <c r="AD13" s="95"/>
      <c r="AE13" s="512" t="str">
        <f>IF(AD14="","",INDEX('結果'!$C$6:$AX$65,$AY5+8,AD$67+1))</f>
        <v>⑧</v>
      </c>
      <c r="AF13" s="512"/>
      <c r="AG13" s="528">
        <f>IF(AD14="","",INDEX('結果'!$C$6:$AX$65,$AY5+8,AD$67+3))</f>
        <v>41847</v>
      </c>
      <c r="AH13" s="528"/>
      <c r="AI13" s="528"/>
      <c r="AJ13" s="529"/>
      <c r="AK13" s="95"/>
      <c r="AL13" s="512" t="str">
        <f>IF(AK14="","",INDEX('結果'!$C$6:$AX$65,$AY5+8,AK$67+1))</f>
        <v>⑨</v>
      </c>
      <c r="AM13" s="512"/>
      <c r="AN13" s="528">
        <f>IF(AK14="","",INDEX('結果'!$C$6:$AX$65,$AY5+8,AK$67+3))</f>
        <v>41860</v>
      </c>
      <c r="AO13" s="528"/>
      <c r="AP13" s="528"/>
      <c r="AQ13" s="529"/>
      <c r="AR13" s="509"/>
      <c r="AS13" s="505"/>
      <c r="AT13" s="505"/>
      <c r="AU13" s="489"/>
      <c r="AV13" s="498"/>
      <c r="AW13" s="62"/>
      <c r="AX13" s="555"/>
    </row>
    <row r="14" spans="1:50" ht="11.25" customHeight="1">
      <c r="A14" s="542"/>
      <c r="B14" s="3"/>
      <c r="C14" s="3"/>
      <c r="D14" s="3"/>
      <c r="E14" s="3"/>
      <c r="F14" s="3"/>
      <c r="G14" s="3"/>
      <c r="H14" s="4"/>
      <c r="I14" s="515" t="str">
        <f>IF(INDEX('結果'!$C$6:$AX$65,$AY5+9,I$67)="","",INDEX('結果'!$C$6:$AX$65,$AY5+9,I$67))</f>
        <v>松任公園Ｇ</v>
      </c>
      <c r="J14" s="516"/>
      <c r="K14" s="516"/>
      <c r="L14" s="516"/>
      <c r="M14" s="516"/>
      <c r="N14" s="516"/>
      <c r="O14" s="517"/>
      <c r="P14" s="531" t="str">
        <f>IF(INDEX('結果'!$C$6:$AX$65,$AY5+9,P$67)="","",INDEX('結果'!$C$6:$AX$65,$AY5+9,P$67))</f>
        <v>能登島Ｂ</v>
      </c>
      <c r="Q14" s="512"/>
      <c r="R14" s="512"/>
      <c r="S14" s="512"/>
      <c r="T14" s="512"/>
      <c r="U14" s="512"/>
      <c r="V14" s="532"/>
      <c r="W14" s="531" t="str">
        <f>IF(INDEX('結果'!$C$6:$AX$65,$AY5+9,W$67)="","",INDEX('結果'!$C$6:$AX$65,$AY5+9,W$67))</f>
        <v>松任中Ｇ</v>
      </c>
      <c r="X14" s="512"/>
      <c r="Y14" s="512"/>
      <c r="Z14" s="512"/>
      <c r="AA14" s="512"/>
      <c r="AB14" s="512"/>
      <c r="AC14" s="532"/>
      <c r="AD14" s="531" t="str">
        <f>IF(INDEX('結果'!$C$6:$AX$65,$AY5+9,AD$67)="","",INDEX('結果'!$C$6:$AX$65,$AY5+9,AD$67))</f>
        <v>松任中Ｇ</v>
      </c>
      <c r="AE14" s="512"/>
      <c r="AF14" s="512"/>
      <c r="AG14" s="512"/>
      <c r="AH14" s="512"/>
      <c r="AI14" s="512"/>
      <c r="AJ14" s="532"/>
      <c r="AK14" s="531" t="str">
        <f>IF(INDEX('結果'!$C$6:$AX$65,$AY5+9,AK$67)="","",INDEX('結果'!$C$6:$AX$65,$AY5+9,AK$67))</f>
        <v>松任中Ｇ</v>
      </c>
      <c r="AL14" s="512"/>
      <c r="AM14" s="512"/>
      <c r="AN14" s="512"/>
      <c r="AO14" s="512"/>
      <c r="AP14" s="512"/>
      <c r="AQ14" s="532"/>
      <c r="AR14" s="509"/>
      <c r="AS14" s="505"/>
      <c r="AT14" s="505"/>
      <c r="AU14" s="489"/>
      <c r="AV14" s="498"/>
      <c r="AW14" s="62"/>
      <c r="AX14" s="555"/>
    </row>
    <row r="15" spans="1:51" ht="11.25" customHeight="1">
      <c r="A15" s="541" t="str">
        <f>INDEX('結果'!$B$6:$AX$65,MATCH($AX15,'結果'!BB$6:BB$65,0),1)</f>
        <v>ＦＣ．ＴＯＮ</v>
      </c>
      <c r="B15" s="521">
        <f>IF(D17="","",D16+D17)</f>
        <v>2</v>
      </c>
      <c r="C15" s="518"/>
      <c r="D15" s="518"/>
      <c r="E15" s="11" t="str">
        <f>IF(D17="","",IF(B15=F15,"△",IF(B15&gt;F15,"○","●")))</f>
        <v>○</v>
      </c>
      <c r="F15" s="518">
        <f>IF(F17="","",F16+F17)</f>
        <v>0</v>
      </c>
      <c r="G15" s="518"/>
      <c r="H15" s="519"/>
      <c r="I15" s="23"/>
      <c r="J15" s="26"/>
      <c r="K15" s="26"/>
      <c r="L15" s="26"/>
      <c r="M15" s="26"/>
      <c r="N15" s="26"/>
      <c r="O15" s="29"/>
      <c r="P15" s="520">
        <f>IF(R17="","",R16+R17)</f>
        <v>0</v>
      </c>
      <c r="Q15" s="518"/>
      <c r="R15" s="518"/>
      <c r="S15" s="11" t="str">
        <f>IF(R17="","",IF(P15=T15,"△",IF(P15&gt;T15,"○","●")))</f>
        <v>●</v>
      </c>
      <c r="T15" s="518">
        <f>IF(T17="","",T16+T17)</f>
        <v>5</v>
      </c>
      <c r="U15" s="518"/>
      <c r="V15" s="519"/>
      <c r="W15" s="520">
        <f>IF(Y17="","",Y16+Y17)</f>
        <v>4</v>
      </c>
      <c r="X15" s="518"/>
      <c r="Y15" s="518"/>
      <c r="Z15" s="11" t="str">
        <f>IF(Y17="","",IF(W15=AA15,"△",IF(W15&gt;AA15,"○","●")))</f>
        <v>○</v>
      </c>
      <c r="AA15" s="518">
        <f>IF(AA17="","",AA16+AA17)</f>
        <v>0</v>
      </c>
      <c r="AB15" s="518"/>
      <c r="AC15" s="519"/>
      <c r="AD15" s="520">
        <f>IF(AF17="","",AF16+AF17)</f>
        <v>7</v>
      </c>
      <c r="AE15" s="518"/>
      <c r="AF15" s="518"/>
      <c r="AG15" s="11" t="str">
        <f>IF(AF17="","",IF(AD15=AH15,"△",IF(AD15&gt;AH15,"○","●")))</f>
        <v>○</v>
      </c>
      <c r="AH15" s="518">
        <f>IF(AH17="","",AH16+AH17)</f>
        <v>1</v>
      </c>
      <c r="AI15" s="518"/>
      <c r="AJ15" s="519"/>
      <c r="AK15" s="520">
        <f>IF(AM17="","",AM16+AM17)</f>
        <v>5</v>
      </c>
      <c r="AL15" s="518"/>
      <c r="AM15" s="518"/>
      <c r="AN15" s="11" t="str">
        <f>IF(AM17="","",IF(AK15=AO15,"△",IF(AK15&gt;AO15,"○","●")))</f>
        <v>○</v>
      </c>
      <c r="AO15" s="518">
        <f>IF(AO17="","",AO16+AO17)</f>
        <v>0</v>
      </c>
      <c r="AP15" s="518"/>
      <c r="AQ15" s="519"/>
      <c r="AR15" s="508">
        <f>IF(COUNT(B16:AQ16)=0,"",COUNTIF(L$5:L$64,"●")*3+COUNTIF(L$5:L$64,"△"))</f>
        <v>18</v>
      </c>
      <c r="AS15" s="504">
        <f>IF(AR15="","",SUM(M$5:M$64)/2)</f>
        <v>24</v>
      </c>
      <c r="AT15" s="504">
        <f>IF(AR15="","",SUM(I$5:I$64))</f>
        <v>6</v>
      </c>
      <c r="AU15" s="488">
        <f>IF(AR15="","",AS15-AT15)</f>
        <v>18</v>
      </c>
      <c r="AV15" s="499">
        <f>IF(AR15="","",RANK(AW15,AW$5:AW$64))</f>
        <v>2</v>
      </c>
      <c r="AW15" s="62">
        <f>IF(AR15="",-ROW()*10000,AR15*10000+AU15*100+AS15+COUNTIF(B15:AQ15,"&gt;=0")/20)</f>
        <v>181824.5</v>
      </c>
      <c r="AX15" s="555">
        <v>2</v>
      </c>
      <c r="AY15" s="1">
        <f>INDEX('結果'!AY$6:AZ$65,MATCH(AX15,'結果'!BB$6:BB$65,0),2)</f>
        <v>51</v>
      </c>
    </row>
    <row r="16" spans="1:50" ht="10.5" customHeight="1">
      <c r="A16" s="542"/>
      <c r="B16" s="19"/>
      <c r="C16" s="5"/>
      <c r="D16" s="17">
        <f>IF(M6="","",M6)</f>
        <v>2</v>
      </c>
      <c r="E16" s="3" t="s">
        <v>3</v>
      </c>
      <c r="F16" s="18">
        <f>IF(K6="","",K6)</f>
        <v>0</v>
      </c>
      <c r="G16" s="6"/>
      <c r="H16" s="4"/>
      <c r="I16" s="23"/>
      <c r="J16" s="26"/>
      <c r="K16" s="26"/>
      <c r="L16" s="26"/>
      <c r="M16" s="26"/>
      <c r="N16" s="26"/>
      <c r="O16" s="29"/>
      <c r="P16" s="23"/>
      <c r="Q16" s="24"/>
      <c r="R16" s="25">
        <f>IF(INDEX('結果'!$C$6:$AX$65,$AY15+1,P$67+2)="","",INDEX('結果'!$C$6:$AX$65,$AY15+1,P$67+2))</f>
        <v>0</v>
      </c>
      <c r="S16" s="26" t="s">
        <v>3</v>
      </c>
      <c r="T16" s="27">
        <f>IF(R16="","",INDEX('結果'!$C$6:$AX$65,$AY15+1,P$67+4))</f>
        <v>2</v>
      </c>
      <c r="U16" s="28"/>
      <c r="V16" s="29"/>
      <c r="W16" s="23"/>
      <c r="X16" s="24"/>
      <c r="Y16" s="25">
        <f>IF(INDEX('結果'!$C$6:$AX$65,$AY15+1,W$67+2)="","",INDEX('結果'!$C$6:$AX$65,$AY15+1,W$67+2))</f>
        <v>3</v>
      </c>
      <c r="Z16" s="26" t="s">
        <v>3</v>
      </c>
      <c r="AA16" s="27">
        <f>IF(Y16="","",INDEX('結果'!$C$6:$AX$65,$AY15+1,W$67+4))</f>
        <v>0</v>
      </c>
      <c r="AB16" s="28"/>
      <c r="AC16" s="29"/>
      <c r="AD16" s="23"/>
      <c r="AE16" s="24"/>
      <c r="AF16" s="25">
        <f>IF(INDEX('結果'!$C$6:$AX$65,$AY15+1,AD$67+2)="","",INDEX('結果'!$C$6:$AX$65,$AY15+1,AD$67+2))</f>
        <v>3</v>
      </c>
      <c r="AG16" s="26" t="s">
        <v>3</v>
      </c>
      <c r="AH16" s="27">
        <f>IF(AF16="","",INDEX('結果'!$C$6:$AX$65,$AY15+1,AD$67+4))</f>
        <v>1</v>
      </c>
      <c r="AI16" s="28"/>
      <c r="AJ16" s="29"/>
      <c r="AK16" s="23"/>
      <c r="AL16" s="24"/>
      <c r="AM16" s="25">
        <f>IF(INDEX('結果'!$C$6:$AX$65,$AY15+1,AK$67+2)="","",INDEX('結果'!$C$6:$AX$65,$AY15+1,AK$67+2))</f>
        <v>0</v>
      </c>
      <c r="AN16" s="26" t="s">
        <v>3</v>
      </c>
      <c r="AO16" s="27">
        <f>IF(AM16="","",INDEX('結果'!$C$6:$AX$65,$AY15+1,AK$67+4))</f>
        <v>0</v>
      </c>
      <c r="AP16" s="28"/>
      <c r="AQ16" s="29"/>
      <c r="AR16" s="509"/>
      <c r="AS16" s="505"/>
      <c r="AT16" s="505"/>
      <c r="AU16" s="489"/>
      <c r="AV16" s="498"/>
      <c r="AW16" s="62"/>
      <c r="AX16" s="555"/>
    </row>
    <row r="17" spans="1:50" ht="10.5" customHeight="1">
      <c r="A17" s="542"/>
      <c r="B17" s="19"/>
      <c r="C17" s="7"/>
      <c r="D17" s="17">
        <f>IF(M7="","",M7)</f>
        <v>0</v>
      </c>
      <c r="E17" s="3" t="s">
        <v>3</v>
      </c>
      <c r="F17" s="18">
        <f>IF(K7="","",K7)</f>
        <v>0</v>
      </c>
      <c r="G17" s="8"/>
      <c r="H17" s="4"/>
      <c r="I17" s="23"/>
      <c r="J17" s="26"/>
      <c r="K17" s="26"/>
      <c r="L17" s="26"/>
      <c r="M17" s="26"/>
      <c r="N17" s="26"/>
      <c r="O17" s="29"/>
      <c r="P17" s="23"/>
      <c r="Q17" s="30"/>
      <c r="R17" s="25">
        <f>IF(R16="","",INDEX('結果'!$C$6:$AX$65,$AY15+2,P$67+2))</f>
        <v>0</v>
      </c>
      <c r="S17" s="26" t="s">
        <v>3</v>
      </c>
      <c r="T17" s="27">
        <f>IF(R17="","",INDEX('結果'!$C$6:$AX$65,$AY15+2,P$67+4))</f>
        <v>3</v>
      </c>
      <c r="U17" s="31"/>
      <c r="V17" s="29"/>
      <c r="W17" s="23"/>
      <c r="X17" s="30"/>
      <c r="Y17" s="25">
        <f>IF(Y16="","",INDEX('結果'!$C$6:$AX$65,$AY15+2,W$67+2))</f>
        <v>1</v>
      </c>
      <c r="Z17" s="26" t="s">
        <v>3</v>
      </c>
      <c r="AA17" s="27">
        <f>IF(Y17="","",INDEX('結果'!$C$6:$AX$65,$AY15+2,W$67+4))</f>
        <v>0</v>
      </c>
      <c r="AB17" s="31"/>
      <c r="AC17" s="29"/>
      <c r="AD17" s="23"/>
      <c r="AE17" s="30"/>
      <c r="AF17" s="25">
        <f>IF(AF16="","",INDEX('結果'!$C$6:$AX$65,$AY15+2,AD$67+2))</f>
        <v>4</v>
      </c>
      <c r="AG17" s="26" t="s">
        <v>3</v>
      </c>
      <c r="AH17" s="27">
        <f>IF(AF17="","",INDEX('結果'!$C$6:$AX$65,$AY15+2,AD$67+4))</f>
        <v>0</v>
      </c>
      <c r="AI17" s="31"/>
      <c r="AJ17" s="29"/>
      <c r="AK17" s="23"/>
      <c r="AL17" s="30"/>
      <c r="AM17" s="25">
        <f>IF(AM16="","",INDEX('結果'!$C$6:$AX$65,$AY15+2,AK$67+2))</f>
        <v>5</v>
      </c>
      <c r="AN17" s="26" t="s">
        <v>3</v>
      </c>
      <c r="AO17" s="27">
        <f>IF(AM17="","",INDEX('結果'!$C$6:$AX$65,$AY15+2,AK$67+4))</f>
        <v>0</v>
      </c>
      <c r="AP17" s="31"/>
      <c r="AQ17" s="29"/>
      <c r="AR17" s="509"/>
      <c r="AS17" s="505"/>
      <c r="AT17" s="505"/>
      <c r="AU17" s="489"/>
      <c r="AV17" s="498"/>
      <c r="AW17" s="62"/>
      <c r="AX17" s="555"/>
    </row>
    <row r="18" spans="1:50" ht="11.25" customHeight="1">
      <c r="A18" s="542"/>
      <c r="C18" s="512" t="str">
        <f>IF(B19="","",J8)</f>
        <v>⑥</v>
      </c>
      <c r="D18" s="512"/>
      <c r="E18" s="513">
        <f>IF(B19="","",L8)</f>
        <v>41818</v>
      </c>
      <c r="F18" s="513"/>
      <c r="G18" s="513"/>
      <c r="H18" s="514"/>
      <c r="I18" s="23"/>
      <c r="J18" s="26"/>
      <c r="K18" s="26"/>
      <c r="L18" s="26"/>
      <c r="M18" s="26"/>
      <c r="N18" s="26"/>
      <c r="O18" s="29"/>
      <c r="P18" s="95"/>
      <c r="Q18" s="512" t="str">
        <f>IF(P19="","",INDEX('結果'!$C$6:$AX$65,$AY15+3,P$67+1))</f>
        <v>④</v>
      </c>
      <c r="R18" s="512"/>
      <c r="S18" s="528">
        <f>IF(P19="","",INDEX('結果'!$C$6:$AX$65,$AY15+3,P$67+3))</f>
        <v>41783</v>
      </c>
      <c r="T18" s="528"/>
      <c r="U18" s="528"/>
      <c r="V18" s="529"/>
      <c r="W18" s="95"/>
      <c r="X18" s="512" t="str">
        <f>IF(W19="","",INDEX('結果'!$C$6:$AX$65,$AY15+3,W$67+1))</f>
        <v>④</v>
      </c>
      <c r="Y18" s="512"/>
      <c r="Z18" s="528">
        <f>IF(W19="","",INDEX('結果'!$C$6:$AX$65,$AY15+3,W$67+3))</f>
        <v>41783</v>
      </c>
      <c r="AA18" s="528"/>
      <c r="AB18" s="528"/>
      <c r="AC18" s="529"/>
      <c r="AD18" s="95"/>
      <c r="AE18" s="512" t="str">
        <f>IF(AD19="","",INDEX('結果'!$C$6:$AX$65,$AY15+3,AD$67+1))</f>
        <v>⑦</v>
      </c>
      <c r="AF18" s="512"/>
      <c r="AG18" s="528">
        <f>IF(AD19="","",INDEX('結果'!$C$6:$AX$65,$AY15+3,AD$67+3))</f>
        <v>41826</v>
      </c>
      <c r="AH18" s="528"/>
      <c r="AI18" s="528"/>
      <c r="AJ18" s="529"/>
      <c r="AK18" s="95"/>
      <c r="AL18" s="512" t="str">
        <f>IF(AK19="","",INDEX('結果'!$C$6:$AX$65,$AY15+3,AK$67+1))</f>
        <v>⑦</v>
      </c>
      <c r="AM18" s="512"/>
      <c r="AN18" s="528">
        <f>IF(AK19="","",INDEX('結果'!$C$6:$AX$65,$AY15+3,AK$67+3))</f>
        <v>41833</v>
      </c>
      <c r="AO18" s="528"/>
      <c r="AP18" s="528"/>
      <c r="AQ18" s="529"/>
      <c r="AR18" s="509"/>
      <c r="AS18" s="505"/>
      <c r="AT18" s="505"/>
      <c r="AU18" s="489"/>
      <c r="AV18" s="498"/>
      <c r="AW18" s="62"/>
      <c r="AX18" s="555"/>
    </row>
    <row r="19" spans="1:50" ht="11.25" customHeight="1">
      <c r="A19" s="542"/>
      <c r="B19" s="545" t="str">
        <f>IF(I9="","",I9)</f>
        <v>北部公園Ｇ</v>
      </c>
      <c r="C19" s="516"/>
      <c r="D19" s="516"/>
      <c r="E19" s="516"/>
      <c r="F19" s="516"/>
      <c r="G19" s="516"/>
      <c r="H19" s="517"/>
      <c r="I19" s="23"/>
      <c r="J19" s="26"/>
      <c r="K19" s="26"/>
      <c r="L19" s="26"/>
      <c r="M19" s="26"/>
      <c r="N19" s="26"/>
      <c r="O19" s="29"/>
      <c r="P19" s="531" t="str">
        <f>IF(INDEX('結果'!$C$6:$AX$65,$AY15+4,P$67)="","",INDEX('結果'!$C$6:$AX$65,$AY15+4,P$67))</f>
        <v>ドーム</v>
      </c>
      <c r="Q19" s="512"/>
      <c r="R19" s="512"/>
      <c r="S19" s="512"/>
      <c r="T19" s="512"/>
      <c r="U19" s="512"/>
      <c r="V19" s="532"/>
      <c r="W19" s="531" t="str">
        <f>IF(INDEX('結果'!$C$6:$AX$65,$AY15+4,W$67)="","",INDEX('結果'!$C$6:$AX$65,$AY15+4,W$67))</f>
        <v>北星中Ｇ</v>
      </c>
      <c r="X19" s="512"/>
      <c r="Y19" s="512"/>
      <c r="Z19" s="512"/>
      <c r="AA19" s="512"/>
      <c r="AB19" s="512"/>
      <c r="AC19" s="532"/>
      <c r="AD19" s="531" t="str">
        <f>IF(INDEX('結果'!$C$6:$AX$65,$AY15+4,AD$67)="","",INDEX('結果'!$C$6:$AX$65,$AY15+4,AD$67))</f>
        <v>北星中Ｇ</v>
      </c>
      <c r="AE19" s="512"/>
      <c r="AF19" s="512"/>
      <c r="AG19" s="512"/>
      <c r="AH19" s="512"/>
      <c r="AI19" s="512"/>
      <c r="AJ19" s="532"/>
      <c r="AK19" s="531" t="str">
        <f>IF(INDEX('結果'!$C$6:$AX$65,$AY15+4,AK$67)="","",INDEX('結果'!$C$6:$AX$65,$AY15+4,AK$67))</f>
        <v>松任中Ｇ</v>
      </c>
      <c r="AL19" s="512"/>
      <c r="AM19" s="512"/>
      <c r="AN19" s="512"/>
      <c r="AO19" s="512"/>
      <c r="AP19" s="512"/>
      <c r="AQ19" s="532"/>
      <c r="AR19" s="509"/>
      <c r="AS19" s="505"/>
      <c r="AT19" s="505"/>
      <c r="AU19" s="489"/>
      <c r="AV19" s="498"/>
      <c r="AW19" s="62"/>
      <c r="AX19" s="555"/>
    </row>
    <row r="20" spans="1:50" ht="11.25" customHeight="1">
      <c r="A20" s="542"/>
      <c r="B20" s="521">
        <f>IF(D22="","",D21+D22)</f>
      </c>
      <c r="C20" s="518"/>
      <c r="D20" s="518"/>
      <c r="E20" s="11">
        <f>IF(D22="","",IF(B20=F20,"△",IF(B20&gt;F20,"○","●")))</f>
      </c>
      <c r="F20" s="518">
        <f>IF(F22="","",F21+F22)</f>
      </c>
      <c r="G20" s="518"/>
      <c r="H20" s="519"/>
      <c r="I20" s="23"/>
      <c r="J20" s="26"/>
      <c r="K20" s="26"/>
      <c r="L20" s="26"/>
      <c r="M20" s="26"/>
      <c r="N20" s="26"/>
      <c r="O20" s="29"/>
      <c r="P20" s="558">
        <f>IF(R22="","",R21+R22)</f>
      </c>
      <c r="Q20" s="556"/>
      <c r="R20" s="556"/>
      <c r="S20" s="32">
        <f>IF(R22="","",IF(P20=T20,"△",IF(P20&gt;T20,"○","●")))</f>
      </c>
      <c r="T20" s="556">
        <f>IF(T22="","",T21+T22)</f>
      </c>
      <c r="U20" s="556"/>
      <c r="V20" s="557"/>
      <c r="W20" s="558">
        <f>IF(Y22="","",Y21+Y22)</f>
        <v>3</v>
      </c>
      <c r="X20" s="556"/>
      <c r="Y20" s="556"/>
      <c r="Z20" s="32" t="str">
        <f>IF(Y22="","",IF(W20=AA20,"△",IF(W20&gt;AA20,"○","●")))</f>
        <v>○</v>
      </c>
      <c r="AA20" s="556">
        <f>IF(AA22="","",AA21+AA22)</f>
        <v>0</v>
      </c>
      <c r="AB20" s="556"/>
      <c r="AC20" s="557"/>
      <c r="AD20" s="558">
        <f>IF(AF22="","",AF21+AF22)</f>
      </c>
      <c r="AE20" s="556"/>
      <c r="AF20" s="556"/>
      <c r="AG20" s="32">
        <f>IF(AF22="","",IF(AD20=AH20,"△",IF(AD20&gt;AH20,"○","●")))</f>
      </c>
      <c r="AH20" s="556">
        <f>IF(AH22="","",AH21+AH22)</f>
      </c>
      <c r="AI20" s="556"/>
      <c r="AJ20" s="557"/>
      <c r="AK20" s="558">
        <f>IF(AM22="","",AM21+AM22)</f>
        <v>3</v>
      </c>
      <c r="AL20" s="556"/>
      <c r="AM20" s="556"/>
      <c r="AN20" s="32" t="str">
        <f>IF(AM22="","",IF(AK20=AO20,"△",IF(AK20&gt;AO20,"○","●")))</f>
        <v>○</v>
      </c>
      <c r="AO20" s="556">
        <f>IF(AO22="","",AO21+AO22)</f>
        <v>0</v>
      </c>
      <c r="AP20" s="556"/>
      <c r="AQ20" s="557"/>
      <c r="AR20" s="509"/>
      <c r="AS20" s="505"/>
      <c r="AT20" s="505"/>
      <c r="AU20" s="489"/>
      <c r="AV20" s="498"/>
      <c r="AW20" s="62"/>
      <c r="AX20" s="555"/>
    </row>
    <row r="21" spans="1:50" ht="11.25" customHeight="1">
      <c r="A21" s="542"/>
      <c r="B21" s="19"/>
      <c r="C21" s="5"/>
      <c r="D21" s="17">
        <f>IF(M11="","",M11)</f>
      </c>
      <c r="E21" s="3" t="s">
        <v>3</v>
      </c>
      <c r="F21" s="18">
        <f>IF(K11="","",K11)</f>
      </c>
      <c r="G21" s="6"/>
      <c r="H21" s="4"/>
      <c r="I21" s="23"/>
      <c r="J21" s="26"/>
      <c r="K21" s="26"/>
      <c r="L21" s="26"/>
      <c r="M21" s="26"/>
      <c r="N21" s="26"/>
      <c r="O21" s="29"/>
      <c r="P21" s="23"/>
      <c r="Q21" s="24"/>
      <c r="R21" s="25">
        <f>IF(INDEX('結果'!$C$6:$AX$65,$AY15+6,P$67+2)="","",INDEX('結果'!$C$6:$AX$65,$AY15+6,P$67+2))</f>
      </c>
      <c r="S21" s="26" t="s">
        <v>3</v>
      </c>
      <c r="T21" s="27">
        <f>IF(R21="","",INDEX('結果'!$C$6:$AX$65,$AY15+6,P$67+4))</f>
      </c>
      <c r="U21" s="28"/>
      <c r="V21" s="29"/>
      <c r="W21" s="23"/>
      <c r="X21" s="24"/>
      <c r="Y21" s="25">
        <f>IF(INDEX('結果'!$C$6:$AX$65,$AY15+6,W$67+2)="","",INDEX('結果'!$C$6:$AX$65,$AY15+6,W$67+2))</f>
        <v>1</v>
      </c>
      <c r="Z21" s="26" t="s">
        <v>3</v>
      </c>
      <c r="AA21" s="27">
        <f>IF(Y21="","",INDEX('結果'!$C$6:$AX$65,$AY15+6,W$67+4))</f>
        <v>0</v>
      </c>
      <c r="AB21" s="28"/>
      <c r="AC21" s="29"/>
      <c r="AD21" s="23"/>
      <c r="AE21" s="24"/>
      <c r="AF21" s="25">
        <f>IF(INDEX('結果'!$C$6:$AX$65,$AY15+6,AD$67+2)="","",INDEX('結果'!$C$6:$AX$65,$AY15+6,AD$67+2))</f>
      </c>
      <c r="AG21" s="26" t="s">
        <v>3</v>
      </c>
      <c r="AH21" s="27">
        <f>IF(AF21="","",INDEX('結果'!$C$6:$AX$65,$AY15+6,AD$67+4))</f>
      </c>
      <c r="AI21" s="28"/>
      <c r="AJ21" s="29"/>
      <c r="AK21" s="23"/>
      <c r="AL21" s="24"/>
      <c r="AM21" s="25">
        <f>IF(INDEX('結果'!$C$6:$AX$65,$AY15+6,AK$67+2)="","",INDEX('結果'!$C$6:$AX$65,$AY15+6,AK$67+2))</f>
        <v>0</v>
      </c>
      <c r="AN21" s="26" t="s">
        <v>3</v>
      </c>
      <c r="AO21" s="27">
        <f>IF(AM21="","",INDEX('結果'!$C$6:$AX$65,$AY15+6,AK$67+4))</f>
        <v>0</v>
      </c>
      <c r="AP21" s="28"/>
      <c r="AQ21" s="29"/>
      <c r="AR21" s="509"/>
      <c r="AS21" s="505"/>
      <c r="AT21" s="505"/>
      <c r="AU21" s="489"/>
      <c r="AV21" s="498"/>
      <c r="AW21" s="62"/>
      <c r="AX21" s="555"/>
    </row>
    <row r="22" spans="1:50" ht="11.25" customHeight="1">
      <c r="A22" s="542"/>
      <c r="B22" s="19"/>
      <c r="C22" s="7"/>
      <c r="D22" s="17">
        <f>IF(M12="","",M12)</f>
      </c>
      <c r="E22" s="3" t="s">
        <v>3</v>
      </c>
      <c r="F22" s="18">
        <f>IF(K12="","",K12)</f>
      </c>
      <c r="G22" s="8"/>
      <c r="H22" s="4"/>
      <c r="I22" s="23"/>
      <c r="J22" s="26"/>
      <c r="K22" s="26"/>
      <c r="L22" s="26"/>
      <c r="M22" s="26"/>
      <c r="N22" s="26"/>
      <c r="O22" s="29"/>
      <c r="P22" s="23"/>
      <c r="Q22" s="30"/>
      <c r="R22" s="25">
        <f>IF(R21="","",INDEX('結果'!$C$6:$AX$65,$AY15+7,P$67+2))</f>
      </c>
      <c r="S22" s="26" t="s">
        <v>3</v>
      </c>
      <c r="T22" s="27">
        <f>IF(R22="","",INDEX('結果'!$C$6:$AX$65,$AY15+7,P$67+4))</f>
      </c>
      <c r="U22" s="31"/>
      <c r="V22" s="29"/>
      <c r="W22" s="23"/>
      <c r="X22" s="30"/>
      <c r="Y22" s="25">
        <f>IF(Y21="","",INDEX('結果'!$C$6:$AX$65,$AY15+7,W$67+2))</f>
        <v>2</v>
      </c>
      <c r="Z22" s="26" t="s">
        <v>3</v>
      </c>
      <c r="AA22" s="27">
        <f>IF(Y22="","",INDEX('結果'!$C$6:$AX$65,$AY15+7,W$67+4))</f>
        <v>0</v>
      </c>
      <c r="AB22" s="31"/>
      <c r="AC22" s="29"/>
      <c r="AD22" s="23"/>
      <c r="AE22" s="30"/>
      <c r="AF22" s="25">
        <f>IF(AF21="","",INDEX('結果'!$C$6:$AX$65,$AY15+7,AD$67+2))</f>
      </c>
      <c r="AG22" s="26" t="s">
        <v>3</v>
      </c>
      <c r="AH22" s="27">
        <f>IF(AF22="","",INDEX('結果'!$C$6:$AX$65,$AY15+7,AD$67+4))</f>
      </c>
      <c r="AI22" s="31"/>
      <c r="AJ22" s="29"/>
      <c r="AK22" s="23"/>
      <c r="AL22" s="30"/>
      <c r="AM22" s="25">
        <f>IF(AM21="","",INDEX('結果'!$C$6:$AX$65,$AY15+7,AK$67+2))</f>
        <v>3</v>
      </c>
      <c r="AN22" s="26" t="s">
        <v>3</v>
      </c>
      <c r="AO22" s="27">
        <f>IF(AM22="","",INDEX('結果'!$C$6:$AX$65,$AY15+7,AK$67+4))</f>
        <v>0</v>
      </c>
      <c r="AP22" s="31"/>
      <c r="AQ22" s="29"/>
      <c r="AR22" s="509"/>
      <c r="AS22" s="505"/>
      <c r="AT22" s="505"/>
      <c r="AU22" s="489"/>
      <c r="AV22" s="498"/>
      <c r="AW22" s="62"/>
      <c r="AX22" s="555"/>
    </row>
    <row r="23" spans="1:50" ht="11.25" customHeight="1">
      <c r="A23" s="542"/>
      <c r="C23" s="512" t="str">
        <f>IF(B24="","",J13)</f>
        <v>⑫</v>
      </c>
      <c r="D23" s="512"/>
      <c r="E23" s="513">
        <f>IF(B24="","",L13)</f>
        <v>41916</v>
      </c>
      <c r="F23" s="513"/>
      <c r="G23" s="513"/>
      <c r="H23" s="514"/>
      <c r="I23" s="23"/>
      <c r="J23" s="26"/>
      <c r="K23" s="26"/>
      <c r="L23" s="26"/>
      <c r="M23" s="26"/>
      <c r="N23" s="26"/>
      <c r="O23" s="29"/>
      <c r="P23" s="95"/>
      <c r="Q23" s="512" t="str">
        <f>IF(P24="","",INDEX('結果'!$C$6:$AX$65,$AY15+8,P$67+1))</f>
        <v>⑫</v>
      </c>
      <c r="R23" s="512"/>
      <c r="S23" s="528">
        <f>IF(P24="","",INDEX('結果'!$C$6:$AX$65,$AY15+8,P$67+3))</f>
        <v>41916</v>
      </c>
      <c r="T23" s="528"/>
      <c r="U23" s="528"/>
      <c r="V23" s="529"/>
      <c r="W23" s="95"/>
      <c r="X23" s="512" t="str">
        <f>IF(W24="","",INDEX('結果'!$C$6:$AX$65,$AY15+8,W$67+1))</f>
        <v>⑨</v>
      </c>
      <c r="Y23" s="512"/>
      <c r="Z23" s="528">
        <f>IF(W24="","",INDEX('結果'!$C$6:$AX$65,$AY15+8,W$67+3))</f>
        <v>41860</v>
      </c>
      <c r="AA23" s="528"/>
      <c r="AB23" s="528"/>
      <c r="AC23" s="529"/>
      <c r="AD23" s="95"/>
      <c r="AE23" s="512" t="str">
        <f>IF(AD24="","",INDEX('結果'!$C$6:$AX$65,$AY15+8,AD$67+1))</f>
        <v>⑪</v>
      </c>
      <c r="AF23" s="512"/>
      <c r="AG23" s="528">
        <f>IF(AD24="","",INDEX('結果'!$C$6:$AX$65,$AY15+8,AD$67+3))</f>
        <v>41909</v>
      </c>
      <c r="AH23" s="528"/>
      <c r="AI23" s="528"/>
      <c r="AJ23" s="529"/>
      <c r="AK23" s="95"/>
      <c r="AL23" s="512" t="str">
        <f>IF(AK24="","",INDEX('結果'!$C$6:$AX$65,$AY15+8,AK$67+1))</f>
        <v>⑧</v>
      </c>
      <c r="AM23" s="512"/>
      <c r="AN23" s="528">
        <f>IF(AK24="","",INDEX('結果'!$C$6:$AX$65,$AY15+8,AK$67+3))</f>
        <v>41847</v>
      </c>
      <c r="AO23" s="528"/>
      <c r="AP23" s="528"/>
      <c r="AQ23" s="529"/>
      <c r="AR23" s="509"/>
      <c r="AS23" s="505"/>
      <c r="AT23" s="505"/>
      <c r="AU23" s="489"/>
      <c r="AV23" s="498"/>
      <c r="AW23" s="62"/>
      <c r="AX23" s="555"/>
    </row>
    <row r="24" spans="1:50" ht="11.25" customHeight="1">
      <c r="A24" s="544"/>
      <c r="B24" s="545" t="str">
        <f>IF(I14="","",I14)</f>
        <v>松任公園Ｇ</v>
      </c>
      <c r="C24" s="516"/>
      <c r="D24" s="516"/>
      <c r="E24" s="516"/>
      <c r="F24" s="516"/>
      <c r="G24" s="516"/>
      <c r="H24" s="517"/>
      <c r="I24" s="23"/>
      <c r="J24" s="26"/>
      <c r="K24" s="26"/>
      <c r="L24" s="26"/>
      <c r="M24" s="26"/>
      <c r="N24" s="26"/>
      <c r="O24" s="29"/>
      <c r="P24" s="515" t="str">
        <f>IF(INDEX('結果'!$C$6:$AX$65,$AY15+9,P$67)="","",INDEX('結果'!$C$6:$AX$65,$AY15+9,P$67))</f>
        <v>松任公園Ｇ</v>
      </c>
      <c r="Q24" s="516"/>
      <c r="R24" s="516"/>
      <c r="S24" s="516"/>
      <c r="T24" s="516"/>
      <c r="U24" s="516"/>
      <c r="V24" s="517"/>
      <c r="W24" s="515" t="str">
        <f>IF(INDEX('結果'!$C$6:$AX$65,$AY15+9,W$67)="","",INDEX('結果'!$C$6:$AX$65,$AY15+9,W$67))</f>
        <v>野田中Ｇ</v>
      </c>
      <c r="X24" s="516"/>
      <c r="Y24" s="516"/>
      <c r="Z24" s="516"/>
      <c r="AA24" s="516"/>
      <c r="AB24" s="516"/>
      <c r="AC24" s="517"/>
      <c r="AD24" s="515" t="str">
        <f>IF(INDEX('結果'!$C$6:$AX$65,$AY15+9,AD$67)="","",INDEX('結果'!$C$6:$AX$65,$AY15+9,AD$67))</f>
        <v>金沢市営</v>
      </c>
      <c r="AE24" s="516"/>
      <c r="AF24" s="516"/>
      <c r="AG24" s="516"/>
      <c r="AH24" s="516"/>
      <c r="AI24" s="516"/>
      <c r="AJ24" s="517"/>
      <c r="AK24" s="515" t="str">
        <f>IF(INDEX('結果'!$C$6:$AX$65,$AY15+9,AK$67)="","",INDEX('結果'!$C$6:$AX$65,$AY15+9,AK$67))</f>
        <v>松任中Ｇ</v>
      </c>
      <c r="AL24" s="516"/>
      <c r="AM24" s="516"/>
      <c r="AN24" s="516"/>
      <c r="AO24" s="516"/>
      <c r="AP24" s="516"/>
      <c r="AQ24" s="517"/>
      <c r="AR24" s="510"/>
      <c r="AS24" s="506"/>
      <c r="AT24" s="506"/>
      <c r="AU24" s="507"/>
      <c r="AV24" s="500"/>
      <c r="AW24" s="62"/>
      <c r="AX24" s="555"/>
    </row>
    <row r="25" spans="1:51" ht="11.25" customHeight="1">
      <c r="A25" s="541" t="str">
        <f>INDEX('結果'!$B$6:$AX$65,MATCH($AX25,'結果'!BB$6:BB$65,0),1)</f>
        <v>ＦＣ小松</v>
      </c>
      <c r="B25" s="520">
        <f>IF(D27="","",D26+D27)</f>
        <v>2</v>
      </c>
      <c r="C25" s="518"/>
      <c r="D25" s="518"/>
      <c r="E25" s="11" t="str">
        <f>IF(D27="","",IF(B25=F25,"△",IF(B25&gt;F25,"○","●")))</f>
        <v>●</v>
      </c>
      <c r="F25" s="518">
        <f>IF(F27="","",F26+F27)</f>
        <v>4</v>
      </c>
      <c r="G25" s="518"/>
      <c r="H25" s="519"/>
      <c r="I25" s="558">
        <f>IF(K27="","",K26+K27)</f>
        <v>5</v>
      </c>
      <c r="J25" s="556"/>
      <c r="K25" s="556"/>
      <c r="L25" s="32" t="str">
        <f>IF(K27="","",IF(I25=M25,"△",IF(I25&gt;M25,"○","●")))</f>
        <v>○</v>
      </c>
      <c r="M25" s="556">
        <f>IF(M27="","",M26+M27)</f>
        <v>0</v>
      </c>
      <c r="N25" s="556"/>
      <c r="O25" s="557"/>
      <c r="P25" s="24"/>
      <c r="Q25" s="116"/>
      <c r="R25" s="116"/>
      <c r="S25" s="116"/>
      <c r="T25" s="116"/>
      <c r="U25" s="116"/>
      <c r="V25" s="28"/>
      <c r="W25" s="520">
        <f>IF(Y27="","",Y26+Y27)</f>
        <v>10</v>
      </c>
      <c r="X25" s="518"/>
      <c r="Y25" s="518"/>
      <c r="Z25" s="11" t="str">
        <f>IF(Y27="","",IF(W25=AA25,"△",IF(W25&gt;AA25,"○","●")))</f>
        <v>○</v>
      </c>
      <c r="AA25" s="518">
        <f>IF(AA27="","",AA26+AA27)</f>
        <v>0</v>
      </c>
      <c r="AB25" s="518"/>
      <c r="AC25" s="519"/>
      <c r="AD25" s="520">
        <f>IF(AF27="","",AF26+AF27)</f>
        <v>10</v>
      </c>
      <c r="AE25" s="518"/>
      <c r="AF25" s="518"/>
      <c r="AG25" s="11" t="str">
        <f>IF(AF27="","",IF(AD25=AH25,"△",IF(AD25&gt;AH25,"○","●")))</f>
        <v>○</v>
      </c>
      <c r="AH25" s="518">
        <f>IF(AH27="","",AH26+AH27)</f>
        <v>0</v>
      </c>
      <c r="AI25" s="518"/>
      <c r="AJ25" s="519"/>
      <c r="AK25" s="520">
        <f>IF(AM27="","",AM26+AM27)</f>
        <v>11</v>
      </c>
      <c r="AL25" s="518"/>
      <c r="AM25" s="518"/>
      <c r="AN25" s="11" t="str">
        <f>IF(AM27="","",IF(AK25=AO25,"△",IF(AK25&gt;AO25,"○","●")))</f>
        <v>○</v>
      </c>
      <c r="AO25" s="518">
        <f>IF(AO27="","",AO26+AO27)</f>
        <v>0</v>
      </c>
      <c r="AP25" s="518"/>
      <c r="AQ25" s="519"/>
      <c r="AR25" s="508">
        <f>IF(COUNT(B26:AQ26)=0,"",COUNTIF(S$5:S$64,"●")*3+COUNTIF(S$5:S$64,"△"))</f>
        <v>15</v>
      </c>
      <c r="AS25" s="504">
        <f>IF(AR25="","",SUM(T$5:T$64)/2)</f>
        <v>39</v>
      </c>
      <c r="AT25" s="504">
        <f>IF(AR25="","",SUM(P$5:P$64))</f>
        <v>4</v>
      </c>
      <c r="AU25" s="488">
        <f>IF(AR25="","",AS25-AT25)</f>
        <v>35</v>
      </c>
      <c r="AV25" s="499">
        <f>IF(AR25="","",RANK(AW25,AW$5:AW$64))</f>
        <v>3</v>
      </c>
      <c r="AW25" s="62">
        <f>IF(AR25="",-ROW()*10000,AR25*10000+AU25*100+AS25+COUNTIF(B25:AQ25,"&gt;=0")/20)</f>
        <v>153539.5</v>
      </c>
      <c r="AX25" s="555">
        <v>3</v>
      </c>
      <c r="AY25" s="1">
        <f>INDEX('結果'!AY$6:AZ$65,MATCH(AX25,'結果'!BB$6:BB$65,0),2)</f>
        <v>11</v>
      </c>
    </row>
    <row r="26" spans="1:50" ht="10.5" customHeight="1">
      <c r="A26" s="542"/>
      <c r="B26" s="2"/>
      <c r="C26" s="5"/>
      <c r="D26" s="17">
        <f>IF(T6="","",T6)</f>
        <v>1</v>
      </c>
      <c r="E26" s="3" t="s">
        <v>3</v>
      </c>
      <c r="F26" s="18">
        <f>IF(R6="","",R6)</f>
        <v>0</v>
      </c>
      <c r="G26" s="6"/>
      <c r="H26" s="4"/>
      <c r="I26" s="23"/>
      <c r="J26" s="24"/>
      <c r="K26" s="25">
        <f>IF(T16="","",T16)</f>
        <v>2</v>
      </c>
      <c r="L26" s="26" t="s">
        <v>3</v>
      </c>
      <c r="M26" s="27">
        <f>IF(R16="","",R16)</f>
        <v>0</v>
      </c>
      <c r="N26" s="28"/>
      <c r="O26" s="29"/>
      <c r="P26" s="23"/>
      <c r="Q26" s="26"/>
      <c r="R26" s="26"/>
      <c r="S26" s="26"/>
      <c r="T26" s="26"/>
      <c r="U26" s="26"/>
      <c r="V26" s="29"/>
      <c r="W26" s="23"/>
      <c r="X26" s="24"/>
      <c r="Y26" s="25">
        <f>IF(INDEX('結果'!$C$6:$AX$65,$AY25+1,W$67+2)="","",INDEX('結果'!$C$6:$AX$65,$AY25+1,W$67+2))</f>
        <v>7</v>
      </c>
      <c r="Z26" s="26" t="s">
        <v>3</v>
      </c>
      <c r="AA26" s="27">
        <f>IF(Y26="","",INDEX('結果'!$C$6:$AX$65,$AY25+1,W$67+4))</f>
        <v>0</v>
      </c>
      <c r="AB26" s="28"/>
      <c r="AC26" s="29"/>
      <c r="AD26" s="23"/>
      <c r="AE26" s="24"/>
      <c r="AF26" s="25">
        <f>IF(INDEX('結果'!$C$6:$AX$65,$AY25+1,AD$67+2)="","",INDEX('結果'!$C$6:$AX$65,$AY25+1,AD$67+2))</f>
        <v>3</v>
      </c>
      <c r="AG26" s="26" t="s">
        <v>3</v>
      </c>
      <c r="AH26" s="27">
        <f>IF(AF26="","",INDEX('結果'!$C$6:$AX$65,$AY25+1,AD$67+4))</f>
        <v>0</v>
      </c>
      <c r="AI26" s="28"/>
      <c r="AJ26" s="29"/>
      <c r="AK26" s="23"/>
      <c r="AL26" s="24"/>
      <c r="AM26" s="25">
        <f>IF(INDEX('結果'!$C$6:$AX$65,$AY25+1,AK$67+2)="","",INDEX('結果'!$C$6:$AX$65,$AY25+1,AK$67+2))</f>
        <v>4</v>
      </c>
      <c r="AN26" s="26" t="s">
        <v>3</v>
      </c>
      <c r="AO26" s="27">
        <f>IF(AM26="","",INDEX('結果'!$C$6:$AX$65,$AY25+1,AK$67+4))</f>
        <v>0</v>
      </c>
      <c r="AP26" s="28"/>
      <c r="AQ26" s="29"/>
      <c r="AR26" s="509"/>
      <c r="AS26" s="505"/>
      <c r="AT26" s="505"/>
      <c r="AU26" s="489"/>
      <c r="AV26" s="498"/>
      <c r="AW26" s="62"/>
      <c r="AX26" s="555"/>
    </row>
    <row r="27" spans="1:50" ht="10.5" customHeight="1">
      <c r="A27" s="542"/>
      <c r="B27" s="2"/>
      <c r="C27" s="7"/>
      <c r="D27" s="17">
        <f>IF(T7="","",T7)</f>
        <v>1</v>
      </c>
      <c r="E27" s="3" t="s">
        <v>3</v>
      </c>
      <c r="F27" s="18">
        <f>IF(R7="","",R7)</f>
        <v>4</v>
      </c>
      <c r="G27" s="8"/>
      <c r="H27" s="4"/>
      <c r="I27" s="23"/>
      <c r="J27" s="30"/>
      <c r="K27" s="25">
        <f>IF(T17="","",T17)</f>
        <v>3</v>
      </c>
      <c r="L27" s="26" t="s">
        <v>3</v>
      </c>
      <c r="M27" s="27">
        <f>IF(R17="","",R17)</f>
        <v>0</v>
      </c>
      <c r="N27" s="31"/>
      <c r="O27" s="29"/>
      <c r="P27" s="23"/>
      <c r="Q27" s="26"/>
      <c r="R27" s="26"/>
      <c r="S27" s="26"/>
      <c r="T27" s="26"/>
      <c r="U27" s="26"/>
      <c r="V27" s="29"/>
      <c r="W27" s="23"/>
      <c r="X27" s="30"/>
      <c r="Y27" s="25">
        <f>IF(Y26="","",INDEX('結果'!$C$6:$AX$65,$AY25+2,W$67+2))</f>
        <v>3</v>
      </c>
      <c r="Z27" s="26" t="s">
        <v>3</v>
      </c>
      <c r="AA27" s="27">
        <f>IF(Y27="","",INDEX('結果'!$C$6:$AX$65,$AY25+2,W$67+4))</f>
        <v>0</v>
      </c>
      <c r="AB27" s="31"/>
      <c r="AC27" s="29"/>
      <c r="AD27" s="23"/>
      <c r="AE27" s="30"/>
      <c r="AF27" s="25">
        <f>IF(AF26="","",INDEX('結果'!$C$6:$AX$65,$AY25+2,AD$67+2))</f>
        <v>7</v>
      </c>
      <c r="AG27" s="26" t="s">
        <v>3</v>
      </c>
      <c r="AH27" s="27">
        <f>IF(AF27="","",INDEX('結果'!$C$6:$AX$65,$AY25+2,AD$67+4))</f>
        <v>0</v>
      </c>
      <c r="AI27" s="31"/>
      <c r="AJ27" s="29"/>
      <c r="AK27" s="23"/>
      <c r="AL27" s="30"/>
      <c r="AM27" s="25">
        <f>IF(AM26="","",INDEX('結果'!$C$6:$AX$65,$AY25+2,AK$67+2))</f>
        <v>7</v>
      </c>
      <c r="AN27" s="26" t="s">
        <v>3</v>
      </c>
      <c r="AO27" s="27">
        <f>IF(AM27="","",INDEX('結果'!$C$6:$AX$65,$AY25+2,AK$67+4))</f>
        <v>0</v>
      </c>
      <c r="AP27" s="31"/>
      <c r="AQ27" s="29"/>
      <c r="AR27" s="509"/>
      <c r="AS27" s="505"/>
      <c r="AT27" s="505"/>
      <c r="AU27" s="489"/>
      <c r="AV27" s="498"/>
      <c r="AW27" s="62"/>
      <c r="AX27" s="555"/>
    </row>
    <row r="28" spans="1:50" ht="11.25" customHeight="1">
      <c r="A28" s="542"/>
      <c r="B28" s="66"/>
      <c r="C28" s="512" t="str">
        <f>IF(B29="","",Q8)</f>
        <v>⑤</v>
      </c>
      <c r="D28" s="512"/>
      <c r="E28" s="513">
        <f>IF(B29="","",S8)</f>
        <v>41790</v>
      </c>
      <c r="F28" s="513"/>
      <c r="G28" s="513"/>
      <c r="H28" s="514"/>
      <c r="I28" s="117"/>
      <c r="J28" s="512" t="str">
        <f>IF(I29="","",Q18)</f>
        <v>④</v>
      </c>
      <c r="K28" s="512"/>
      <c r="L28" s="513">
        <f>IF(I29="","",S18)</f>
        <v>41783</v>
      </c>
      <c r="M28" s="513"/>
      <c r="N28" s="513"/>
      <c r="O28" s="514"/>
      <c r="P28" s="23"/>
      <c r="Q28" s="26"/>
      <c r="R28" s="26"/>
      <c r="S28" s="26"/>
      <c r="T28" s="26"/>
      <c r="U28" s="26"/>
      <c r="V28" s="29"/>
      <c r="W28" s="95"/>
      <c r="X28" s="512" t="str">
        <f>IF(W29="","",INDEX('結果'!$C$6:$AX$65,$AY25+3,W$67+1))</f>
        <v>④</v>
      </c>
      <c r="Y28" s="512"/>
      <c r="Z28" s="528">
        <f>IF(W29="","",INDEX('結果'!$C$6:$AX$65,$AY25+3,W$67+3))</f>
        <v>41784</v>
      </c>
      <c r="AA28" s="528"/>
      <c r="AB28" s="528"/>
      <c r="AC28" s="529"/>
      <c r="AD28" s="95"/>
      <c r="AE28" s="512" t="str">
        <f>IF(AD29="","",INDEX('結果'!$C$6:$AX$65,$AY25+3,AD$67+1))</f>
        <v>⑥</v>
      </c>
      <c r="AF28" s="512"/>
      <c r="AG28" s="528">
        <f>IF(AD29="","",INDEX('結果'!$C$6:$AX$65,$AY25+3,AD$67+3))</f>
        <v>41818</v>
      </c>
      <c r="AH28" s="528"/>
      <c r="AI28" s="528"/>
      <c r="AJ28" s="529"/>
      <c r="AK28" s="95"/>
      <c r="AL28" s="512" t="str">
        <f>IF(AK29="","",INDEX('結果'!$C$6:$AX$65,$AY25+3,AK$67+1))</f>
        <v>⑥</v>
      </c>
      <c r="AM28" s="512"/>
      <c r="AN28" s="528">
        <f>IF(AK29="","",INDEX('結果'!$C$6:$AX$65,$AY25+3,AK$67+3))</f>
        <v>41819</v>
      </c>
      <c r="AO28" s="528"/>
      <c r="AP28" s="528"/>
      <c r="AQ28" s="529"/>
      <c r="AR28" s="509"/>
      <c r="AS28" s="505"/>
      <c r="AT28" s="505"/>
      <c r="AU28" s="489"/>
      <c r="AV28" s="498"/>
      <c r="AW28" s="62"/>
      <c r="AX28" s="555"/>
    </row>
    <row r="29" spans="1:50" ht="11.25" customHeight="1">
      <c r="A29" s="542"/>
      <c r="B29" s="515" t="str">
        <f>IF(P9="","",P9)</f>
        <v>ドーム</v>
      </c>
      <c r="C29" s="516"/>
      <c r="D29" s="516"/>
      <c r="E29" s="516"/>
      <c r="F29" s="516"/>
      <c r="G29" s="516"/>
      <c r="H29" s="517"/>
      <c r="I29" s="515" t="str">
        <f>IF(P19="","",P19)</f>
        <v>ドーム</v>
      </c>
      <c r="J29" s="516"/>
      <c r="K29" s="516"/>
      <c r="L29" s="516"/>
      <c r="M29" s="516"/>
      <c r="N29" s="516"/>
      <c r="O29" s="517"/>
      <c r="P29" s="23"/>
      <c r="Q29" s="26"/>
      <c r="R29" s="26"/>
      <c r="S29" s="26"/>
      <c r="T29" s="26"/>
      <c r="U29" s="26"/>
      <c r="V29" s="29"/>
      <c r="W29" s="531" t="str">
        <f>IF(INDEX('結果'!$C$6:$AX$65,$AY25+4,W$67)="","",INDEX('結果'!$C$6:$AX$65,$AY25+4,W$67))</f>
        <v>ドーム</v>
      </c>
      <c r="X29" s="512"/>
      <c r="Y29" s="512"/>
      <c r="Z29" s="512"/>
      <c r="AA29" s="512"/>
      <c r="AB29" s="512"/>
      <c r="AC29" s="532"/>
      <c r="AD29" s="531" t="str">
        <f>IF(INDEX('結果'!$C$6:$AX$65,$AY25+4,AD$67)="","",INDEX('結果'!$C$6:$AX$65,$AY25+4,AD$67))</f>
        <v>北部公園Ｇ</v>
      </c>
      <c r="AE29" s="512"/>
      <c r="AF29" s="512"/>
      <c r="AG29" s="512"/>
      <c r="AH29" s="512"/>
      <c r="AI29" s="512"/>
      <c r="AJ29" s="532"/>
      <c r="AK29" s="531" t="str">
        <f>IF(INDEX('結果'!$C$6:$AX$65,$AY25+4,AK$67)="","",INDEX('結果'!$C$6:$AX$65,$AY25+4,AK$67))</f>
        <v>松任公園Ｇ</v>
      </c>
      <c r="AL29" s="512"/>
      <c r="AM29" s="512"/>
      <c r="AN29" s="512"/>
      <c r="AO29" s="512"/>
      <c r="AP29" s="512"/>
      <c r="AQ29" s="532"/>
      <c r="AR29" s="509"/>
      <c r="AS29" s="505"/>
      <c r="AT29" s="505"/>
      <c r="AU29" s="489"/>
      <c r="AV29" s="498"/>
      <c r="AW29" s="62"/>
      <c r="AX29" s="555"/>
    </row>
    <row r="30" spans="1:50" ht="11.25" customHeight="1">
      <c r="A30" s="542"/>
      <c r="B30" s="520">
        <f>IF(D32="","",D31+D32)</f>
      </c>
      <c r="C30" s="518"/>
      <c r="D30" s="518"/>
      <c r="E30" s="11">
        <f>IF(D32="","",IF(B30=F30,"△",IF(B30&gt;F30,"○","●")))</f>
      </c>
      <c r="F30" s="518">
        <f>IF(F32="","",F31+F32)</f>
      </c>
      <c r="G30" s="518"/>
      <c r="H30" s="519"/>
      <c r="I30" s="558">
        <f>IF(K32="","",K31+K32)</f>
      </c>
      <c r="J30" s="556"/>
      <c r="K30" s="556"/>
      <c r="L30" s="32">
        <f>IF(K32="","",IF(I30=M30,"△",IF(I30&gt;M30,"○","●")))</f>
      </c>
      <c r="M30" s="556">
        <f>IF(M32="","",M31+M32)</f>
      </c>
      <c r="N30" s="556"/>
      <c r="O30" s="557"/>
      <c r="P30" s="23"/>
      <c r="Q30" s="26"/>
      <c r="R30" s="26"/>
      <c r="S30" s="26"/>
      <c r="T30" s="26"/>
      <c r="U30" s="26"/>
      <c r="V30" s="29"/>
      <c r="W30" s="558">
        <f>IF(Y32="","",Y31+Y32)</f>
      </c>
      <c r="X30" s="556"/>
      <c r="Y30" s="556"/>
      <c r="Z30" s="32">
        <f>IF(Y32="","",IF(W30=AA30,"△",IF(W30&gt;AA30,"○","●")))</f>
      </c>
      <c r="AA30" s="556">
        <f>IF(AA32="","",AA31+AA32)</f>
      </c>
      <c r="AB30" s="556"/>
      <c r="AC30" s="557"/>
      <c r="AD30" s="558">
        <f>IF(AF32="","",AF31+AF32)</f>
        <v>1</v>
      </c>
      <c r="AE30" s="556"/>
      <c r="AF30" s="556"/>
      <c r="AG30" s="32" t="str">
        <f>IF(AF32="","",IF(AD30=AH30,"△",IF(AD30&gt;AH30,"○","●")))</f>
        <v>○</v>
      </c>
      <c r="AH30" s="556">
        <f>IF(AH32="","",AH31+AH32)</f>
        <v>0</v>
      </c>
      <c r="AI30" s="556"/>
      <c r="AJ30" s="557"/>
      <c r="AK30" s="558">
        <f>IF(AM32="","",AM31+AM32)</f>
      </c>
      <c r="AL30" s="556"/>
      <c r="AM30" s="556"/>
      <c r="AN30" s="32">
        <f>IF(AM32="","",IF(AK30=AO30,"△",IF(AK30&gt;AO30,"○","●")))</f>
      </c>
      <c r="AO30" s="556">
        <f>IF(AO32="","",AO31+AO32)</f>
      </c>
      <c r="AP30" s="556"/>
      <c r="AQ30" s="557"/>
      <c r="AR30" s="509"/>
      <c r="AS30" s="505"/>
      <c r="AT30" s="505"/>
      <c r="AU30" s="489"/>
      <c r="AV30" s="498"/>
      <c r="AW30" s="62"/>
      <c r="AX30" s="555"/>
    </row>
    <row r="31" spans="1:50" ht="11.25" customHeight="1">
      <c r="A31" s="542"/>
      <c r="B31" s="2"/>
      <c r="C31" s="5"/>
      <c r="D31" s="17">
        <f>IF(T11="","",T11)</f>
      </c>
      <c r="E31" s="3" t="s">
        <v>3</v>
      </c>
      <c r="F31" s="18">
        <f>IF(R11="","",R11)</f>
      </c>
      <c r="G31" s="6"/>
      <c r="H31" s="4"/>
      <c r="I31" s="23"/>
      <c r="J31" s="24"/>
      <c r="K31" s="25">
        <f>IF(T21="","",T21)</f>
      </c>
      <c r="L31" s="26" t="s">
        <v>3</v>
      </c>
      <c r="M31" s="27">
        <f>IF(R21="","",R21)</f>
      </c>
      <c r="N31" s="28"/>
      <c r="O31" s="29"/>
      <c r="P31" s="23"/>
      <c r="Q31" s="26"/>
      <c r="R31" s="26"/>
      <c r="S31" s="26"/>
      <c r="T31" s="26"/>
      <c r="U31" s="26"/>
      <c r="V31" s="29"/>
      <c r="W31" s="23"/>
      <c r="X31" s="24"/>
      <c r="Y31" s="25">
        <f>IF(INDEX('結果'!$C$6:$AX$65,$AY25+6,W$67+2)="","",INDEX('結果'!$C$6:$AX$65,$AY25+6,W$67+2))</f>
      </c>
      <c r="Z31" s="26" t="s">
        <v>3</v>
      </c>
      <c r="AA31" s="27">
        <f>IF(Y31="","",INDEX('結果'!$C$6:$AX$65,$AY25+6,W$67+4))</f>
      </c>
      <c r="AB31" s="28"/>
      <c r="AC31" s="29"/>
      <c r="AD31" s="23"/>
      <c r="AE31" s="24"/>
      <c r="AF31" s="25">
        <f>IF(INDEX('結果'!$C$6:$AX$65,$AY25+6,AD$67+2)="","",INDEX('結果'!$C$6:$AX$65,$AY25+6,AD$67+2))</f>
        <v>1</v>
      </c>
      <c r="AG31" s="26" t="s">
        <v>3</v>
      </c>
      <c r="AH31" s="27">
        <f>IF(AF31="","",INDEX('結果'!$C$6:$AX$65,$AY25+6,AD$67+4))</f>
        <v>0</v>
      </c>
      <c r="AI31" s="28"/>
      <c r="AJ31" s="29"/>
      <c r="AK31" s="23"/>
      <c r="AL31" s="24"/>
      <c r="AM31" s="25">
        <f>IF(INDEX('結果'!$C$6:$AX$65,$AY25+6,AK$67+2)="","",INDEX('結果'!$C$6:$AX$65,$AY25+6,AK$67+2))</f>
      </c>
      <c r="AN31" s="26" t="s">
        <v>3</v>
      </c>
      <c r="AO31" s="27">
        <f>IF(AM31="","",INDEX('結果'!$C$6:$AX$65,$AY25+6,AK$67+4))</f>
      </c>
      <c r="AP31" s="28"/>
      <c r="AQ31" s="29"/>
      <c r="AR31" s="509"/>
      <c r="AS31" s="505"/>
      <c r="AT31" s="505"/>
      <c r="AU31" s="489"/>
      <c r="AV31" s="498"/>
      <c r="AW31" s="62"/>
      <c r="AX31" s="555"/>
    </row>
    <row r="32" spans="1:50" ht="11.25" customHeight="1">
      <c r="A32" s="542"/>
      <c r="B32" s="2"/>
      <c r="C32" s="7"/>
      <c r="D32" s="17">
        <f>IF(T12="","",T12)</f>
      </c>
      <c r="E32" s="3" t="s">
        <v>3</v>
      </c>
      <c r="F32" s="18">
        <f>IF(R12="","",R12)</f>
      </c>
      <c r="G32" s="8"/>
      <c r="H32" s="4"/>
      <c r="I32" s="23"/>
      <c r="J32" s="30"/>
      <c r="K32" s="25">
        <f>IF(T22="","",T22)</f>
      </c>
      <c r="L32" s="26" t="s">
        <v>3</v>
      </c>
      <c r="M32" s="27">
        <f>IF(R22="","",R22)</f>
      </c>
      <c r="N32" s="31"/>
      <c r="O32" s="29"/>
      <c r="P32" s="23"/>
      <c r="Q32" s="26"/>
      <c r="R32" s="26"/>
      <c r="S32" s="26"/>
      <c r="T32" s="26"/>
      <c r="U32" s="26"/>
      <c r="V32" s="29"/>
      <c r="W32" s="23"/>
      <c r="X32" s="30"/>
      <c r="Y32" s="25">
        <f>IF(Y31="","",INDEX('結果'!$C$6:$AX$65,$AY25+7,W$67+2))</f>
      </c>
      <c r="Z32" s="26" t="s">
        <v>3</v>
      </c>
      <c r="AA32" s="27">
        <f>IF(Y32="","",INDEX('結果'!$C$6:$AX$65,$AY25+7,W$67+4))</f>
      </c>
      <c r="AB32" s="31"/>
      <c r="AC32" s="29"/>
      <c r="AD32" s="23"/>
      <c r="AE32" s="30"/>
      <c r="AF32" s="25">
        <f>IF(AF31="","",INDEX('結果'!$C$6:$AX$65,$AY25+7,AD$67+2))</f>
        <v>0</v>
      </c>
      <c r="AG32" s="26" t="s">
        <v>3</v>
      </c>
      <c r="AH32" s="27">
        <f>IF(AF32="","",INDEX('結果'!$C$6:$AX$65,$AY25+7,AD$67+4))</f>
        <v>0</v>
      </c>
      <c r="AI32" s="31"/>
      <c r="AJ32" s="29"/>
      <c r="AK32" s="23"/>
      <c r="AL32" s="30"/>
      <c r="AM32" s="25">
        <f>IF(AM31="","",INDEX('結果'!$C$6:$AX$65,$AY25+7,AK$67+2))</f>
      </c>
      <c r="AN32" s="26" t="s">
        <v>3</v>
      </c>
      <c r="AO32" s="27">
        <f>IF(AM32="","",INDEX('結果'!$C$6:$AX$65,$AY25+7,AK$67+4))</f>
      </c>
      <c r="AP32" s="31"/>
      <c r="AQ32" s="29"/>
      <c r="AR32" s="509"/>
      <c r="AS32" s="505"/>
      <c r="AT32" s="505"/>
      <c r="AU32" s="489"/>
      <c r="AV32" s="498"/>
      <c r="AW32" s="62"/>
      <c r="AX32" s="555"/>
    </row>
    <row r="33" spans="1:50" ht="11.25" customHeight="1">
      <c r="A33" s="542"/>
      <c r="B33" s="66"/>
      <c r="C33" s="512" t="str">
        <f>IF(B34="","",Q13)</f>
        <v>⑪</v>
      </c>
      <c r="D33" s="512"/>
      <c r="E33" s="513">
        <f>IF(B34="","",S13)</f>
        <v>41909</v>
      </c>
      <c r="F33" s="513"/>
      <c r="G33" s="513"/>
      <c r="H33" s="514"/>
      <c r="I33" s="117"/>
      <c r="J33" s="512" t="str">
        <f>IF(I34="","",Q23)</f>
        <v>⑫</v>
      </c>
      <c r="K33" s="512"/>
      <c r="L33" s="513">
        <f>IF(I34="","",S23)</f>
        <v>41916</v>
      </c>
      <c r="M33" s="513"/>
      <c r="N33" s="513"/>
      <c r="O33" s="514"/>
      <c r="P33" s="23"/>
      <c r="Q33" s="26"/>
      <c r="R33" s="26"/>
      <c r="S33" s="26"/>
      <c r="T33" s="26"/>
      <c r="U33" s="26"/>
      <c r="V33" s="29"/>
      <c r="W33" s="95"/>
      <c r="X33" s="512" t="str">
        <f>IF(W34="","",INDEX('結果'!$C$6:$AX$65,$AY25+8,W$67+1))</f>
        <v>⑫</v>
      </c>
      <c r="Y33" s="512"/>
      <c r="Z33" s="528">
        <f>IF(W34="","",INDEX('結果'!$C$6:$AX$65,$AY25+8,W$67+3))</f>
        <v>41916</v>
      </c>
      <c r="AA33" s="528"/>
      <c r="AB33" s="528"/>
      <c r="AC33" s="529"/>
      <c r="AD33" s="95"/>
      <c r="AE33" s="512" t="str">
        <f>IF(AD34="","",INDEX('結果'!$C$6:$AX$65,$AY25+8,AD$67+1))</f>
        <v>⑨</v>
      </c>
      <c r="AF33" s="512"/>
      <c r="AG33" s="528">
        <f>IF(AD34="","",INDEX('結果'!$C$6:$AX$65,$AY25+8,AD$67+3))</f>
        <v>41860</v>
      </c>
      <c r="AH33" s="528"/>
      <c r="AI33" s="528"/>
      <c r="AJ33" s="529"/>
      <c r="AK33" s="95"/>
      <c r="AL33" s="512" t="str">
        <f>IF(AK34="","",INDEX('結果'!$C$6:$AX$65,$AY25+8,AK$67+1))</f>
        <v>⑬</v>
      </c>
      <c r="AM33" s="512"/>
      <c r="AN33" s="528">
        <f>IF(AK34="","",INDEX('結果'!$C$6:$AX$65,$AY25+8,AK$67+3))</f>
        <v>41930</v>
      </c>
      <c r="AO33" s="528"/>
      <c r="AP33" s="528"/>
      <c r="AQ33" s="529"/>
      <c r="AR33" s="509"/>
      <c r="AS33" s="505"/>
      <c r="AT33" s="505"/>
      <c r="AU33" s="489"/>
      <c r="AV33" s="498"/>
      <c r="AW33" s="62"/>
      <c r="AX33" s="555"/>
    </row>
    <row r="34" spans="1:50" ht="11.25" customHeight="1">
      <c r="A34" s="544"/>
      <c r="B34" s="515" t="str">
        <f>IF(P14="","",P14)</f>
        <v>能登島Ｂ</v>
      </c>
      <c r="C34" s="516"/>
      <c r="D34" s="516"/>
      <c r="E34" s="516"/>
      <c r="F34" s="516"/>
      <c r="G34" s="516"/>
      <c r="H34" s="517"/>
      <c r="I34" s="515" t="str">
        <f>IF(P24="","",P24)</f>
        <v>松任公園Ｇ</v>
      </c>
      <c r="J34" s="516"/>
      <c r="K34" s="516"/>
      <c r="L34" s="516"/>
      <c r="M34" s="516"/>
      <c r="N34" s="516"/>
      <c r="O34" s="517"/>
      <c r="P34" s="23"/>
      <c r="Q34" s="26"/>
      <c r="R34" s="26"/>
      <c r="S34" s="26"/>
      <c r="T34" s="26"/>
      <c r="U34" s="26"/>
      <c r="V34" s="29"/>
      <c r="W34" s="515" t="str">
        <f>IF(INDEX('結果'!$C$6:$AX$65,$AY25+9,W$67)="","",INDEX('結果'!$C$6:$AX$65,$AY25+9,W$67))</f>
        <v>松任公園Ｇ</v>
      </c>
      <c r="X34" s="516"/>
      <c r="Y34" s="516"/>
      <c r="Z34" s="516"/>
      <c r="AA34" s="516"/>
      <c r="AB34" s="516"/>
      <c r="AC34" s="517"/>
      <c r="AD34" s="515" t="str">
        <f>IF(INDEX('結果'!$C$6:$AX$65,$AY25+9,AD$67)="","",INDEX('結果'!$C$6:$AX$65,$AY25+9,AD$67))</f>
        <v>松任中Ｇ</v>
      </c>
      <c r="AE34" s="516"/>
      <c r="AF34" s="516"/>
      <c r="AG34" s="516"/>
      <c r="AH34" s="516"/>
      <c r="AI34" s="516"/>
      <c r="AJ34" s="517"/>
      <c r="AK34" s="515" t="str">
        <f>IF(INDEX('結果'!$C$6:$AX$65,$AY25+9,AK$67)="","",INDEX('結果'!$C$6:$AX$65,$AY25+9,AK$67))</f>
        <v>松任中Ｇ</v>
      </c>
      <c r="AL34" s="516"/>
      <c r="AM34" s="516"/>
      <c r="AN34" s="516"/>
      <c r="AO34" s="516"/>
      <c r="AP34" s="516"/>
      <c r="AQ34" s="517"/>
      <c r="AR34" s="510"/>
      <c r="AS34" s="506"/>
      <c r="AT34" s="506"/>
      <c r="AU34" s="507"/>
      <c r="AV34" s="500"/>
      <c r="AW34" s="62"/>
      <c r="AX34" s="555"/>
    </row>
    <row r="35" spans="1:51" ht="11.25" customHeight="1">
      <c r="A35" s="541" t="str">
        <f>INDEX('結果'!$B$6:$AX$65,MATCH($AX35,'結果'!BB$6:BB$65,0),1)</f>
        <v>根上中学校</v>
      </c>
      <c r="B35" s="520">
        <f>IF(D37="","",D36+D37)</f>
        <v>0</v>
      </c>
      <c r="C35" s="518"/>
      <c r="D35" s="518"/>
      <c r="E35" s="11" t="str">
        <f>IF(D37="","",IF(B35=F35,"△",IF(B35&gt;F35,"○","●")))</f>
        <v>●</v>
      </c>
      <c r="F35" s="518">
        <f>IF(F37="","",F36+F37)</f>
        <v>9</v>
      </c>
      <c r="G35" s="518"/>
      <c r="H35" s="519"/>
      <c r="I35" s="558">
        <f>IF(K37="","",K36+K37)</f>
        <v>0</v>
      </c>
      <c r="J35" s="556"/>
      <c r="K35" s="556"/>
      <c r="L35" s="32" t="str">
        <f>IF(K37="","",IF(I35=M35,"△",IF(I35&gt;M35,"○","●")))</f>
        <v>●</v>
      </c>
      <c r="M35" s="556">
        <f>IF(M37="","",M36+M37)</f>
        <v>4</v>
      </c>
      <c r="N35" s="556"/>
      <c r="O35" s="557"/>
      <c r="P35" s="558">
        <f>IF(R37="","",R36+R37)</f>
        <v>0</v>
      </c>
      <c r="Q35" s="556"/>
      <c r="R35" s="556"/>
      <c r="S35" s="32" t="str">
        <f>IF(R37="","",IF(P35=T35,"△",IF(P35&gt;T35,"○","●")))</f>
        <v>●</v>
      </c>
      <c r="T35" s="556">
        <f>IF(T37="","",T36+T37)</f>
        <v>10</v>
      </c>
      <c r="U35" s="556"/>
      <c r="V35" s="557"/>
      <c r="W35" s="24"/>
      <c r="X35" s="116"/>
      <c r="Y35" s="116"/>
      <c r="Z35" s="116"/>
      <c r="AA35" s="116"/>
      <c r="AB35" s="116"/>
      <c r="AC35" s="28"/>
      <c r="AD35" s="520">
        <f>IF(AF37="","",AF36+AF37)</f>
        <v>7</v>
      </c>
      <c r="AE35" s="518"/>
      <c r="AF35" s="518"/>
      <c r="AG35" s="11" t="str">
        <f>IF(AF37="","",IF(AD35=AH35,"△",IF(AD35&gt;AH35,"○","●")))</f>
        <v>○</v>
      </c>
      <c r="AH35" s="518">
        <f>IF(AH37="","",AH36+AH37)</f>
        <v>0</v>
      </c>
      <c r="AI35" s="518"/>
      <c r="AJ35" s="519"/>
      <c r="AK35" s="520">
        <f>IF(AM37="","",AM36+AM37)</f>
        <v>5</v>
      </c>
      <c r="AL35" s="518"/>
      <c r="AM35" s="518"/>
      <c r="AN35" s="11" t="str">
        <f>IF(AM37="","",IF(AK35=AO35,"△",IF(AK35&gt;AO35,"○","●")))</f>
        <v>○</v>
      </c>
      <c r="AO35" s="518">
        <f>IF(AO37="","",AO36+AO37)</f>
        <v>0</v>
      </c>
      <c r="AP35" s="518"/>
      <c r="AQ35" s="519"/>
      <c r="AR35" s="508">
        <f>IF(COUNT(B36:AQ36)=0,"",COUNTIF(Z$5:Z$64,"●")*3+COUNTIF(Z$5:Z$64,"△"))</f>
        <v>9</v>
      </c>
      <c r="AS35" s="504">
        <f>IF(AR35="","",SUM(AA$5:AA$64)/2)</f>
        <v>15</v>
      </c>
      <c r="AT35" s="504">
        <f>IF(AR35="","",SUM(W$5:W$64))</f>
        <v>28</v>
      </c>
      <c r="AU35" s="488">
        <f>IF(AR35="","",AS35-AT35)</f>
        <v>-13</v>
      </c>
      <c r="AV35" s="499">
        <f>IF(AR35="","",RANK(AW35,AW$5:AW$64))</f>
        <v>4</v>
      </c>
      <c r="AW35" s="62">
        <f>IF(AR35="",-ROW()*10000,AR35*10000+AU35*100+AS35+COUNTIF(B35:AQ35,"&gt;=0")/20)</f>
        <v>88715.5</v>
      </c>
      <c r="AX35" s="555">
        <v>4</v>
      </c>
      <c r="AY35" s="1">
        <f>INDEX('結果'!AY$6:AZ$65,MATCH(AX35,'結果'!BB$6:BB$65,0),2)</f>
        <v>41</v>
      </c>
    </row>
    <row r="36" spans="1:50" ht="10.5" customHeight="1">
      <c r="A36" s="542"/>
      <c r="B36" s="2"/>
      <c r="C36" s="5"/>
      <c r="D36" s="17">
        <f>IF(AA6="","",AA6)</f>
        <v>0</v>
      </c>
      <c r="E36" s="3" t="s">
        <v>3</v>
      </c>
      <c r="F36" s="18">
        <f>IF(Y6="","",Y6)</f>
        <v>6</v>
      </c>
      <c r="G36" s="6"/>
      <c r="H36" s="4"/>
      <c r="I36" s="23"/>
      <c r="J36" s="24"/>
      <c r="K36" s="25">
        <f>IF(AA16="","",AA16)</f>
        <v>0</v>
      </c>
      <c r="L36" s="26" t="s">
        <v>3</v>
      </c>
      <c r="M36" s="27">
        <f>IF(Y16="","",Y16)</f>
        <v>3</v>
      </c>
      <c r="N36" s="28"/>
      <c r="O36" s="29"/>
      <c r="P36" s="23"/>
      <c r="Q36" s="24"/>
      <c r="R36" s="25">
        <f>IF(AA26="","",AA26)</f>
        <v>0</v>
      </c>
      <c r="S36" s="26" t="s">
        <v>3</v>
      </c>
      <c r="T36" s="27">
        <f>IF(Y26="","",Y26)</f>
        <v>7</v>
      </c>
      <c r="U36" s="28"/>
      <c r="V36" s="29"/>
      <c r="W36" s="23"/>
      <c r="X36" s="26"/>
      <c r="Y36" s="26"/>
      <c r="Z36" s="26"/>
      <c r="AA36" s="26"/>
      <c r="AB36" s="26"/>
      <c r="AC36" s="29"/>
      <c r="AD36" s="23"/>
      <c r="AE36" s="24"/>
      <c r="AF36" s="25">
        <f>IF(INDEX('結果'!$C$6:$AX$65,$AY35+1,AD$67+2)="","",INDEX('結果'!$C$6:$AX$65,$AY35+1,AD$67+2))</f>
        <v>4</v>
      </c>
      <c r="AG36" s="26" t="s">
        <v>3</v>
      </c>
      <c r="AH36" s="27">
        <f>IF(AF36="","",INDEX('結果'!$C$6:$AX$65,$AY35+1,AD$67+4))</f>
        <v>0</v>
      </c>
      <c r="AI36" s="28"/>
      <c r="AJ36" s="29"/>
      <c r="AK36" s="23"/>
      <c r="AL36" s="24"/>
      <c r="AM36" s="25">
        <f>IF(INDEX('結果'!$C$6:$AX$65,$AY35+1,AK$67+2)="","",INDEX('結果'!$C$6:$AX$65,$AY35+1,AK$67+2))</f>
        <v>1</v>
      </c>
      <c r="AN36" s="26" t="s">
        <v>3</v>
      </c>
      <c r="AO36" s="27">
        <f>IF(AM36="","",INDEX('結果'!$C$6:$AX$65,$AY35+1,AK$67+4))</f>
        <v>0</v>
      </c>
      <c r="AP36" s="28"/>
      <c r="AQ36" s="29"/>
      <c r="AR36" s="509"/>
      <c r="AS36" s="505"/>
      <c r="AT36" s="505"/>
      <c r="AU36" s="489"/>
      <c r="AV36" s="498"/>
      <c r="AW36" s="62"/>
      <c r="AX36" s="555"/>
    </row>
    <row r="37" spans="1:50" ht="10.5" customHeight="1">
      <c r="A37" s="542"/>
      <c r="B37" s="2"/>
      <c r="C37" s="7"/>
      <c r="D37" s="17">
        <f>IF(AA7="","",AA7)</f>
        <v>0</v>
      </c>
      <c r="E37" s="3" t="s">
        <v>3</v>
      </c>
      <c r="F37" s="18">
        <f>IF(Y7="","",Y7)</f>
        <v>3</v>
      </c>
      <c r="G37" s="8"/>
      <c r="H37" s="4"/>
      <c r="I37" s="23"/>
      <c r="J37" s="30"/>
      <c r="K37" s="25">
        <f>IF(AA17="","",AA17)</f>
        <v>0</v>
      </c>
      <c r="L37" s="26" t="s">
        <v>3</v>
      </c>
      <c r="M37" s="27">
        <f>IF(Y17="","",Y17)</f>
        <v>1</v>
      </c>
      <c r="N37" s="31"/>
      <c r="O37" s="29"/>
      <c r="P37" s="23"/>
      <c r="Q37" s="30"/>
      <c r="R37" s="25">
        <f>IF(AA27="","",AA27)</f>
        <v>0</v>
      </c>
      <c r="S37" s="26" t="s">
        <v>3</v>
      </c>
      <c r="T37" s="27">
        <f>IF(Y27="","",Y27)</f>
        <v>3</v>
      </c>
      <c r="U37" s="31"/>
      <c r="V37" s="29"/>
      <c r="W37" s="23"/>
      <c r="X37" s="26"/>
      <c r="Y37" s="26"/>
      <c r="Z37" s="26"/>
      <c r="AA37" s="26"/>
      <c r="AB37" s="26"/>
      <c r="AC37" s="29"/>
      <c r="AD37" s="23"/>
      <c r="AE37" s="30"/>
      <c r="AF37" s="25">
        <f>IF(AF36="","",INDEX('結果'!$C$6:$AX$65,$AY35+2,AD$67+2))</f>
        <v>3</v>
      </c>
      <c r="AG37" s="26" t="s">
        <v>3</v>
      </c>
      <c r="AH37" s="27">
        <f>IF(AF37="","",INDEX('結果'!$C$6:$AX$65,$AY35+2,AD$67+4))</f>
        <v>0</v>
      </c>
      <c r="AI37" s="31"/>
      <c r="AJ37" s="29"/>
      <c r="AK37" s="23"/>
      <c r="AL37" s="30"/>
      <c r="AM37" s="25">
        <f>IF(AM36="","",INDEX('結果'!$C$6:$AX$65,$AY35+2,AK$67+2))</f>
        <v>4</v>
      </c>
      <c r="AN37" s="26" t="s">
        <v>3</v>
      </c>
      <c r="AO37" s="27">
        <f>IF(AM37="","",INDEX('結果'!$C$6:$AX$65,$AY35+2,AK$67+4))</f>
        <v>0</v>
      </c>
      <c r="AP37" s="31"/>
      <c r="AQ37" s="29"/>
      <c r="AR37" s="509"/>
      <c r="AS37" s="505"/>
      <c r="AT37" s="505"/>
      <c r="AU37" s="489"/>
      <c r="AV37" s="498"/>
      <c r="AW37" s="62"/>
      <c r="AX37" s="555"/>
    </row>
    <row r="38" spans="1:50" ht="11.25" customHeight="1">
      <c r="A38" s="542"/>
      <c r="B38" s="66"/>
      <c r="C38" s="512" t="str">
        <f>IF(B39="","",X8)</f>
        <v>⑤</v>
      </c>
      <c r="D38" s="512"/>
      <c r="E38" s="513">
        <f>IF(B39="","",Z8)</f>
        <v>41791</v>
      </c>
      <c r="F38" s="513"/>
      <c r="G38" s="513"/>
      <c r="H38" s="514"/>
      <c r="I38" s="117"/>
      <c r="J38" s="512" t="str">
        <f>IF(I39="","",X18)</f>
        <v>④</v>
      </c>
      <c r="K38" s="512"/>
      <c r="L38" s="513">
        <f>IF(I39="","",Z18)</f>
        <v>41783</v>
      </c>
      <c r="M38" s="513"/>
      <c r="N38" s="513"/>
      <c r="O38" s="514"/>
      <c r="P38" s="117"/>
      <c r="Q38" s="512" t="str">
        <f>IF(P39="","",X28)</f>
        <v>④</v>
      </c>
      <c r="R38" s="512"/>
      <c r="S38" s="513">
        <f>IF(P39="","",Z28)</f>
        <v>41784</v>
      </c>
      <c r="T38" s="513"/>
      <c r="U38" s="513"/>
      <c r="V38" s="514"/>
      <c r="W38" s="23"/>
      <c r="X38" s="26"/>
      <c r="Y38" s="26"/>
      <c r="Z38" s="26"/>
      <c r="AA38" s="26"/>
      <c r="AB38" s="26"/>
      <c r="AC38" s="29"/>
      <c r="AD38" s="95"/>
      <c r="AE38" s="512" t="str">
        <f>IF(AD39="","",INDEX('結果'!$C$6:$AX$65,$AY35+3,AD$67+1))</f>
        <v>④</v>
      </c>
      <c r="AF38" s="512"/>
      <c r="AG38" s="528">
        <f>IF(AD39="","",INDEX('結果'!$C$6:$AX$65,$AY35+3,AD$67+3))</f>
        <v>41783</v>
      </c>
      <c r="AH38" s="528"/>
      <c r="AI38" s="528"/>
      <c r="AJ38" s="529"/>
      <c r="AK38" s="95"/>
      <c r="AL38" s="512" t="str">
        <f>IF(AK39="","",INDEX('結果'!$C$6:$AX$65,$AY35+3,AK$67+1))</f>
        <v>⑤</v>
      </c>
      <c r="AM38" s="512"/>
      <c r="AN38" s="528">
        <f>IF(AK39="","",INDEX('結果'!$C$6:$AX$65,$AY35+3,AK$67+3))</f>
        <v>41804</v>
      </c>
      <c r="AO38" s="528"/>
      <c r="AP38" s="528"/>
      <c r="AQ38" s="529"/>
      <c r="AR38" s="509"/>
      <c r="AS38" s="505"/>
      <c r="AT38" s="505"/>
      <c r="AU38" s="489"/>
      <c r="AV38" s="498"/>
      <c r="AW38" s="62"/>
      <c r="AX38" s="555"/>
    </row>
    <row r="39" spans="1:50" ht="11.25" customHeight="1">
      <c r="A39" s="542"/>
      <c r="B39" s="515" t="str">
        <f>IF(W9="","",W9)</f>
        <v>松任中Ｇ</v>
      </c>
      <c r="C39" s="516"/>
      <c r="D39" s="516"/>
      <c r="E39" s="516"/>
      <c r="F39" s="516"/>
      <c r="G39" s="516"/>
      <c r="H39" s="517"/>
      <c r="I39" s="515" t="str">
        <f>IF(W19="","",W19)</f>
        <v>北星中Ｇ</v>
      </c>
      <c r="J39" s="516"/>
      <c r="K39" s="516"/>
      <c r="L39" s="516"/>
      <c r="M39" s="516"/>
      <c r="N39" s="516"/>
      <c r="O39" s="517"/>
      <c r="P39" s="515" t="str">
        <f>IF(W29="","",W29)</f>
        <v>ドーム</v>
      </c>
      <c r="Q39" s="516"/>
      <c r="R39" s="516"/>
      <c r="S39" s="516"/>
      <c r="T39" s="516"/>
      <c r="U39" s="516"/>
      <c r="V39" s="517"/>
      <c r="W39" s="23"/>
      <c r="X39" s="26"/>
      <c r="Y39" s="26"/>
      <c r="Z39" s="26"/>
      <c r="AA39" s="26"/>
      <c r="AB39" s="26"/>
      <c r="AC39" s="29"/>
      <c r="AD39" s="531" t="str">
        <f>IF(INDEX('結果'!$C$6:$AX$65,$AY35+4,AD$67)="","",INDEX('結果'!$C$6:$AX$65,$AY35+4,AD$67))</f>
        <v>ドーム</v>
      </c>
      <c r="AE39" s="512"/>
      <c r="AF39" s="512"/>
      <c r="AG39" s="512"/>
      <c r="AH39" s="512"/>
      <c r="AI39" s="512"/>
      <c r="AJ39" s="532"/>
      <c r="AK39" s="531" t="str">
        <f>IF(INDEX('結果'!$C$6:$AX$65,$AY35+4,AK$67)="","",INDEX('結果'!$C$6:$AX$65,$AY35+4,AK$67))</f>
        <v>安原</v>
      </c>
      <c r="AL39" s="512"/>
      <c r="AM39" s="512"/>
      <c r="AN39" s="512"/>
      <c r="AO39" s="512"/>
      <c r="AP39" s="512"/>
      <c r="AQ39" s="532"/>
      <c r="AR39" s="509"/>
      <c r="AS39" s="505"/>
      <c r="AT39" s="505"/>
      <c r="AU39" s="489"/>
      <c r="AV39" s="498"/>
      <c r="AW39" s="62"/>
      <c r="AX39" s="555"/>
    </row>
    <row r="40" spans="1:50" ht="11.25" customHeight="1">
      <c r="A40" s="542"/>
      <c r="B40" s="520">
        <f>IF(D42="","",D41+D42)</f>
      </c>
      <c r="C40" s="518"/>
      <c r="D40" s="518"/>
      <c r="E40" s="11">
        <f>IF(D42="","",IF(B40=F40,"△",IF(B40&gt;F40,"○","●")))</f>
      </c>
      <c r="F40" s="518">
        <f>IF(F42="","",F41+F42)</f>
      </c>
      <c r="G40" s="518"/>
      <c r="H40" s="519"/>
      <c r="I40" s="558">
        <f>IF(K42="","",K41+K42)</f>
        <v>0</v>
      </c>
      <c r="J40" s="556"/>
      <c r="K40" s="556"/>
      <c r="L40" s="32" t="str">
        <f>IF(K42="","",IF(I40=M40,"△",IF(I40&gt;M40,"○","●")))</f>
        <v>●</v>
      </c>
      <c r="M40" s="556">
        <f>IF(M42="","",M41+M42)</f>
        <v>3</v>
      </c>
      <c r="N40" s="556"/>
      <c r="O40" s="557"/>
      <c r="P40" s="558">
        <f>IF(R42="","",R41+R42)</f>
      </c>
      <c r="Q40" s="556"/>
      <c r="R40" s="556"/>
      <c r="S40" s="32">
        <f>IF(R42="","",IF(P40=T40,"△",IF(P40&gt;T40,"○","●")))</f>
      </c>
      <c r="T40" s="556">
        <f>IF(T42="","",T41+T42)</f>
      </c>
      <c r="U40" s="556"/>
      <c r="V40" s="557"/>
      <c r="W40" s="23"/>
      <c r="X40" s="26"/>
      <c r="Y40" s="26"/>
      <c r="Z40" s="26"/>
      <c r="AA40" s="26"/>
      <c r="AB40" s="26"/>
      <c r="AC40" s="29"/>
      <c r="AD40" s="558">
        <f>IF(AF42="","",AF41+AF42)</f>
        <v>0</v>
      </c>
      <c r="AE40" s="556"/>
      <c r="AF40" s="556"/>
      <c r="AG40" s="32" t="str">
        <f>IF(AF42="","",IF(AD40=AH40,"△",IF(AD40&gt;AH40,"○","●")))</f>
        <v>●</v>
      </c>
      <c r="AH40" s="556">
        <f>IF(AH42="","",AH41+AH42)</f>
        <v>2</v>
      </c>
      <c r="AI40" s="556"/>
      <c r="AJ40" s="557"/>
      <c r="AK40" s="558">
        <f>IF(AM42="","",AM41+AM42)</f>
        <v>3</v>
      </c>
      <c r="AL40" s="556"/>
      <c r="AM40" s="556"/>
      <c r="AN40" s="32" t="str">
        <f>IF(AM42="","",IF(AK40=AO40,"△",IF(AK40&gt;AO40,"○","●")))</f>
        <v>○</v>
      </c>
      <c r="AO40" s="556">
        <f>IF(AO42="","",AO41+AO42)</f>
        <v>0</v>
      </c>
      <c r="AP40" s="556"/>
      <c r="AQ40" s="557"/>
      <c r="AR40" s="509"/>
      <c r="AS40" s="505"/>
      <c r="AT40" s="505"/>
      <c r="AU40" s="489"/>
      <c r="AV40" s="498"/>
      <c r="AW40" s="62"/>
      <c r="AX40" s="555"/>
    </row>
    <row r="41" spans="1:50" ht="11.25" customHeight="1">
      <c r="A41" s="542"/>
      <c r="B41" s="2"/>
      <c r="C41" s="5"/>
      <c r="D41" s="17">
        <f>IF(AA11="","",AA11)</f>
      </c>
      <c r="E41" s="3" t="s">
        <v>3</v>
      </c>
      <c r="F41" s="18">
        <f>IF(Y11="","",Y11)</f>
      </c>
      <c r="G41" s="6"/>
      <c r="H41" s="4"/>
      <c r="I41" s="23"/>
      <c r="J41" s="24"/>
      <c r="K41" s="25">
        <f>IF(AA21="","",AA21)</f>
        <v>0</v>
      </c>
      <c r="L41" s="26" t="s">
        <v>3</v>
      </c>
      <c r="M41" s="27">
        <f>IF(Y21="","",Y21)</f>
        <v>1</v>
      </c>
      <c r="N41" s="28"/>
      <c r="O41" s="29"/>
      <c r="P41" s="23"/>
      <c r="Q41" s="24"/>
      <c r="R41" s="25">
        <f>IF(AA31="","",AA31)</f>
      </c>
      <c r="S41" s="26" t="s">
        <v>3</v>
      </c>
      <c r="T41" s="27">
        <f>IF(Y31="","",Y31)</f>
      </c>
      <c r="U41" s="28"/>
      <c r="V41" s="29"/>
      <c r="W41" s="23"/>
      <c r="X41" s="26"/>
      <c r="Y41" s="26"/>
      <c r="Z41" s="26"/>
      <c r="AA41" s="26"/>
      <c r="AB41" s="26"/>
      <c r="AC41" s="29"/>
      <c r="AD41" s="23"/>
      <c r="AE41" s="24"/>
      <c r="AF41" s="25">
        <f>IF(INDEX('結果'!$C$6:$AX$65,$AY35+6,AD$67+2)="","",INDEX('結果'!$C$6:$AX$65,$AY35+6,AD$67+2))</f>
        <v>0</v>
      </c>
      <c r="AG41" s="26" t="s">
        <v>3</v>
      </c>
      <c r="AH41" s="27">
        <f>IF(AF41="","",INDEX('結果'!$C$6:$AX$65,$AY35+6,AD$67+4))</f>
        <v>0</v>
      </c>
      <c r="AI41" s="28"/>
      <c r="AJ41" s="29"/>
      <c r="AK41" s="23"/>
      <c r="AL41" s="24"/>
      <c r="AM41" s="25">
        <f>IF(INDEX('結果'!$C$6:$AX$65,$AY35+6,AK$67+2)="","",INDEX('結果'!$C$6:$AX$65,$AY35+6,AK$67+2))</f>
        <v>1</v>
      </c>
      <c r="AN41" s="26" t="s">
        <v>3</v>
      </c>
      <c r="AO41" s="27">
        <f>IF(AM41="","",INDEX('結果'!$C$6:$AX$65,$AY35+6,AK$67+4))</f>
        <v>0</v>
      </c>
      <c r="AP41" s="28"/>
      <c r="AQ41" s="29"/>
      <c r="AR41" s="509"/>
      <c r="AS41" s="505"/>
      <c r="AT41" s="505"/>
      <c r="AU41" s="489"/>
      <c r="AV41" s="498"/>
      <c r="AW41" s="62"/>
      <c r="AX41" s="555"/>
    </row>
    <row r="42" spans="1:50" ht="11.25" customHeight="1">
      <c r="A42" s="542"/>
      <c r="B42" s="2"/>
      <c r="C42" s="7"/>
      <c r="D42" s="17">
        <f>IF(AA12="","",AA12)</f>
      </c>
      <c r="E42" s="3" t="s">
        <v>3</v>
      </c>
      <c r="F42" s="18">
        <f>IF(Y12="","",Y12)</f>
      </c>
      <c r="G42" s="8"/>
      <c r="H42" s="4"/>
      <c r="I42" s="23"/>
      <c r="J42" s="30"/>
      <c r="K42" s="25">
        <f>IF(AA22="","",AA22)</f>
        <v>0</v>
      </c>
      <c r="L42" s="26" t="s">
        <v>3</v>
      </c>
      <c r="M42" s="27">
        <f>IF(Y22="","",Y22)</f>
        <v>2</v>
      </c>
      <c r="N42" s="31"/>
      <c r="O42" s="29"/>
      <c r="P42" s="23"/>
      <c r="Q42" s="30"/>
      <c r="R42" s="25">
        <f>IF(AA32="","",AA32)</f>
      </c>
      <c r="S42" s="26" t="s">
        <v>3</v>
      </c>
      <c r="T42" s="27">
        <f>IF(Y32="","",Y32)</f>
      </c>
      <c r="U42" s="31"/>
      <c r="V42" s="29"/>
      <c r="W42" s="23"/>
      <c r="X42" s="26"/>
      <c r="Y42" s="26"/>
      <c r="Z42" s="26"/>
      <c r="AA42" s="26"/>
      <c r="AB42" s="26"/>
      <c r="AC42" s="29"/>
      <c r="AD42" s="23"/>
      <c r="AE42" s="30"/>
      <c r="AF42" s="25">
        <f>IF(AF41="","",INDEX('結果'!$C$6:$AX$65,$AY35+7,AD$67+2))</f>
        <v>0</v>
      </c>
      <c r="AG42" s="26" t="s">
        <v>3</v>
      </c>
      <c r="AH42" s="27">
        <f>IF(AF42="","",INDEX('結果'!$C$6:$AX$65,$AY35+7,AD$67+4))</f>
        <v>2</v>
      </c>
      <c r="AI42" s="31"/>
      <c r="AJ42" s="29"/>
      <c r="AK42" s="23"/>
      <c r="AL42" s="30"/>
      <c r="AM42" s="25">
        <f>IF(AM41="","",INDEX('結果'!$C$6:$AX$65,$AY35+7,AK$67+2))</f>
        <v>2</v>
      </c>
      <c r="AN42" s="26" t="s">
        <v>3</v>
      </c>
      <c r="AO42" s="27">
        <f>IF(AM42="","",INDEX('結果'!$C$6:$AX$65,$AY35+7,AK$67+4))</f>
        <v>0</v>
      </c>
      <c r="AP42" s="31"/>
      <c r="AQ42" s="29"/>
      <c r="AR42" s="509"/>
      <c r="AS42" s="505"/>
      <c r="AT42" s="505"/>
      <c r="AU42" s="489"/>
      <c r="AV42" s="498"/>
      <c r="AW42" s="62"/>
      <c r="AX42" s="555"/>
    </row>
    <row r="43" spans="1:50" ht="11.25" customHeight="1">
      <c r="A43" s="542"/>
      <c r="B43" s="66"/>
      <c r="C43" s="512" t="str">
        <f>IF(B44="","",X13)</f>
        <v>⑬</v>
      </c>
      <c r="D43" s="512"/>
      <c r="E43" s="513">
        <f>IF(B44="","",Z13)</f>
        <v>41930</v>
      </c>
      <c r="F43" s="513"/>
      <c r="G43" s="513"/>
      <c r="H43" s="514"/>
      <c r="I43" s="117"/>
      <c r="J43" s="512" t="str">
        <f>IF(I44="","",X23)</f>
        <v>⑨</v>
      </c>
      <c r="K43" s="512"/>
      <c r="L43" s="513">
        <f>IF(I44="","",Z23)</f>
        <v>41860</v>
      </c>
      <c r="M43" s="513"/>
      <c r="N43" s="513"/>
      <c r="O43" s="514"/>
      <c r="P43" s="117"/>
      <c r="Q43" s="512" t="str">
        <f>IF(P44="","",X33)</f>
        <v>⑫</v>
      </c>
      <c r="R43" s="512"/>
      <c r="S43" s="513">
        <f>IF(P44="","",Z33)</f>
        <v>41916</v>
      </c>
      <c r="T43" s="513"/>
      <c r="U43" s="513"/>
      <c r="V43" s="514"/>
      <c r="W43" s="23"/>
      <c r="X43" s="26"/>
      <c r="Y43" s="26"/>
      <c r="Z43" s="26"/>
      <c r="AA43" s="26"/>
      <c r="AB43" s="26"/>
      <c r="AC43" s="29"/>
      <c r="AD43" s="95"/>
      <c r="AE43" s="512" t="str">
        <f>IF(AD44="","",INDEX('結果'!$C$6:$AX$65,$AY35+8,AD$67+1))</f>
        <v>⑩</v>
      </c>
      <c r="AF43" s="512"/>
      <c r="AG43" s="528">
        <f>IF(AD44="","",INDEX('結果'!$C$6:$AX$65,$AY35+8,AD$67+3))</f>
        <v>41895</v>
      </c>
      <c r="AH43" s="528"/>
      <c r="AI43" s="528"/>
      <c r="AJ43" s="529"/>
      <c r="AK43" s="95"/>
      <c r="AL43" s="512" t="str">
        <f>IF(AK44="","",INDEX('結果'!$C$6:$AX$65,$AY35+8,AK$67+1))</f>
        <v>⑩</v>
      </c>
      <c r="AM43" s="512"/>
      <c r="AN43" s="528">
        <f>IF(AK44="","",INDEX('結果'!$C$6:$AX$65,$AY35+8,AK$67+3))</f>
        <v>41888</v>
      </c>
      <c r="AO43" s="528"/>
      <c r="AP43" s="528"/>
      <c r="AQ43" s="529"/>
      <c r="AR43" s="509"/>
      <c r="AS43" s="505"/>
      <c r="AT43" s="505"/>
      <c r="AU43" s="489"/>
      <c r="AV43" s="498"/>
      <c r="AW43" s="62"/>
      <c r="AX43" s="555"/>
    </row>
    <row r="44" spans="1:50" ht="11.25" customHeight="1">
      <c r="A44" s="544"/>
      <c r="B44" s="515" t="str">
        <f>IF(W14="","",W14)</f>
        <v>松任中Ｇ</v>
      </c>
      <c r="C44" s="516"/>
      <c r="D44" s="516"/>
      <c r="E44" s="516"/>
      <c r="F44" s="516"/>
      <c r="G44" s="516"/>
      <c r="H44" s="517"/>
      <c r="I44" s="515" t="str">
        <f>IF(W24="","",W24)</f>
        <v>野田中Ｇ</v>
      </c>
      <c r="J44" s="516"/>
      <c r="K44" s="516"/>
      <c r="L44" s="516"/>
      <c r="M44" s="516"/>
      <c r="N44" s="516"/>
      <c r="O44" s="517"/>
      <c r="P44" s="515" t="str">
        <f>IF(W34="","",W34)</f>
        <v>松任公園Ｇ</v>
      </c>
      <c r="Q44" s="516"/>
      <c r="R44" s="516"/>
      <c r="S44" s="516"/>
      <c r="T44" s="516"/>
      <c r="U44" s="516"/>
      <c r="V44" s="517"/>
      <c r="W44" s="23"/>
      <c r="X44" s="26"/>
      <c r="Y44" s="26"/>
      <c r="Z44" s="26"/>
      <c r="AA44" s="26"/>
      <c r="AB44" s="26"/>
      <c r="AC44" s="29"/>
      <c r="AD44" s="515" t="str">
        <f>IF(INDEX('結果'!$C$6:$AX$65,$AY35+9,AD$67)="","",INDEX('結果'!$C$6:$AX$65,$AY35+9,AD$67))</f>
        <v>野田中Ｇ</v>
      </c>
      <c r="AE44" s="516"/>
      <c r="AF44" s="516"/>
      <c r="AG44" s="516"/>
      <c r="AH44" s="516"/>
      <c r="AI44" s="516"/>
      <c r="AJ44" s="517"/>
      <c r="AK44" s="515" t="str">
        <f>IF(INDEX('結果'!$C$6:$AX$65,$AY35+9,AK$67)="","",INDEX('結果'!$C$6:$AX$65,$AY35+9,AK$67))</f>
        <v>北星中Ｇ</v>
      </c>
      <c r="AL44" s="516"/>
      <c r="AM44" s="516"/>
      <c r="AN44" s="516"/>
      <c r="AO44" s="516"/>
      <c r="AP44" s="516"/>
      <c r="AQ44" s="517"/>
      <c r="AR44" s="510"/>
      <c r="AS44" s="506"/>
      <c r="AT44" s="506"/>
      <c r="AU44" s="507"/>
      <c r="AV44" s="500"/>
      <c r="AW44" s="62"/>
      <c r="AX44" s="555"/>
    </row>
    <row r="45" spans="1:51" ht="11.25" customHeight="1">
      <c r="A45" s="541" t="str">
        <f>INDEX('結果'!$B$6:$AX$65,MATCH($AX45,'結果'!BB$6:BB$65,0),1)</f>
        <v>河北台ＳＣ</v>
      </c>
      <c r="B45" s="520">
        <f>IF(D47="","",D46+D47)</f>
        <v>0</v>
      </c>
      <c r="C45" s="518"/>
      <c r="D45" s="518"/>
      <c r="E45" s="11" t="str">
        <f>IF(D47="","",IF(B45=F45,"△",IF(B45&gt;F45,"○","●")))</f>
        <v>●</v>
      </c>
      <c r="F45" s="518">
        <f>IF(F47="","",F46+F47)</f>
        <v>12</v>
      </c>
      <c r="G45" s="518"/>
      <c r="H45" s="519"/>
      <c r="I45" s="558">
        <f>IF(K47="","",K46+K47)</f>
        <v>1</v>
      </c>
      <c r="J45" s="556"/>
      <c r="K45" s="556"/>
      <c r="L45" s="32" t="str">
        <f>IF(K47="","",IF(I45=M45,"△",IF(I45&gt;M45,"○","●")))</f>
        <v>●</v>
      </c>
      <c r="M45" s="556">
        <f>IF(M47="","",M46+M47)</f>
        <v>7</v>
      </c>
      <c r="N45" s="556"/>
      <c r="O45" s="557"/>
      <c r="P45" s="558">
        <f>IF(R47="","",R46+R47)</f>
        <v>0</v>
      </c>
      <c r="Q45" s="556"/>
      <c r="R45" s="556"/>
      <c r="S45" s="32" t="str">
        <f>IF(R47="","",IF(P45=T45,"△",IF(P45&gt;T45,"○","●")))</f>
        <v>●</v>
      </c>
      <c r="T45" s="556">
        <f>IF(T47="","",T46+T47)</f>
        <v>10</v>
      </c>
      <c r="U45" s="556"/>
      <c r="V45" s="557"/>
      <c r="W45" s="558">
        <f>IF(Y47="","",Y46+Y47)</f>
        <v>0</v>
      </c>
      <c r="X45" s="556"/>
      <c r="Y45" s="556"/>
      <c r="Z45" s="32" t="str">
        <f>IF(Y47="","",IF(W45=AA45,"△",IF(W45&gt;AA45,"○","●")))</f>
        <v>●</v>
      </c>
      <c r="AA45" s="556">
        <f>IF(AA47="","",AA46+AA47)</f>
        <v>7</v>
      </c>
      <c r="AB45" s="556"/>
      <c r="AC45" s="557"/>
      <c r="AD45" s="24"/>
      <c r="AE45" s="116"/>
      <c r="AF45" s="116"/>
      <c r="AG45" s="116"/>
      <c r="AH45" s="116"/>
      <c r="AI45" s="116"/>
      <c r="AJ45" s="28"/>
      <c r="AK45" s="520">
        <f>IF(AM47="","",AM46+AM47)</f>
        <v>2</v>
      </c>
      <c r="AL45" s="518"/>
      <c r="AM45" s="518"/>
      <c r="AN45" s="11" t="str">
        <f>IF(AM47="","",IF(AK45=AO45,"△",IF(AK45&gt;AO45,"○","●")))</f>
        <v>○</v>
      </c>
      <c r="AO45" s="518">
        <f>IF(AO47="","",AO46+AO47)</f>
        <v>1</v>
      </c>
      <c r="AP45" s="518"/>
      <c r="AQ45" s="519"/>
      <c r="AR45" s="508">
        <f>IF(COUNT(B46:AQ46)=0,"",COUNTIF(AG$5:AG$64,"●")*3+COUNTIF(AG$5:AG$64,"△"))</f>
        <v>6</v>
      </c>
      <c r="AS45" s="504">
        <f>IF(AR45="","",SUM(AH$5:AH$64)/2)</f>
        <v>5</v>
      </c>
      <c r="AT45" s="504">
        <f>IF(AR45="","",SUM(AD$5:AD$64))</f>
        <v>44</v>
      </c>
      <c r="AU45" s="488">
        <f>IF(AR45="","",AS45-AT45)</f>
        <v>-39</v>
      </c>
      <c r="AV45" s="499">
        <f>IF(AR45="","",RANK(AW45,AW$5:AW$64))</f>
        <v>5</v>
      </c>
      <c r="AW45" s="62">
        <f>IF(AR45="",-ROW()*10000,AR45*10000+AU45*100+AS45+COUNTIF(B45:AQ45,"&gt;=0")/20)</f>
        <v>56105.5</v>
      </c>
      <c r="AX45" s="555">
        <v>5</v>
      </c>
      <c r="AY45" s="1">
        <f>INDEX('結果'!AY$6:AZ$65,MATCH(AX45,'結果'!BB$6:BB$65,0),2)</f>
        <v>21</v>
      </c>
    </row>
    <row r="46" spans="1:50" ht="10.5" customHeight="1">
      <c r="A46" s="542"/>
      <c r="B46" s="2"/>
      <c r="C46" s="5"/>
      <c r="D46" s="17">
        <f>IF(AH6="","",AH6)</f>
        <v>0</v>
      </c>
      <c r="E46" s="3" t="s">
        <v>3</v>
      </c>
      <c r="F46" s="18">
        <f>IF(AF6="","",AF6)</f>
        <v>7</v>
      </c>
      <c r="G46" s="6"/>
      <c r="H46" s="4"/>
      <c r="I46" s="23"/>
      <c r="J46" s="24"/>
      <c r="K46" s="25">
        <f>IF(AH16="","",AH16)</f>
        <v>1</v>
      </c>
      <c r="L46" s="26" t="s">
        <v>3</v>
      </c>
      <c r="M46" s="27">
        <f>IF(AF16="","",AF16)</f>
        <v>3</v>
      </c>
      <c r="N46" s="28"/>
      <c r="O46" s="29"/>
      <c r="P46" s="23"/>
      <c r="Q46" s="24"/>
      <c r="R46" s="25">
        <f>IF(AH26="","",AH26)</f>
        <v>0</v>
      </c>
      <c r="S46" s="26" t="s">
        <v>3</v>
      </c>
      <c r="T46" s="27">
        <f>IF(AF26="","",AF26)</f>
        <v>3</v>
      </c>
      <c r="U46" s="28"/>
      <c r="V46" s="29"/>
      <c r="W46" s="23"/>
      <c r="X46" s="24"/>
      <c r="Y46" s="25">
        <f>IF(AH36="","",AH36)</f>
        <v>0</v>
      </c>
      <c r="Z46" s="26" t="s">
        <v>3</v>
      </c>
      <c r="AA46" s="27">
        <f>IF(AF36="","",AF36)</f>
        <v>4</v>
      </c>
      <c r="AB46" s="28"/>
      <c r="AC46" s="29"/>
      <c r="AD46" s="23"/>
      <c r="AE46" s="26"/>
      <c r="AF46" s="26"/>
      <c r="AG46" s="26"/>
      <c r="AH46" s="26"/>
      <c r="AI46" s="26"/>
      <c r="AJ46" s="29"/>
      <c r="AK46" s="23"/>
      <c r="AL46" s="24"/>
      <c r="AM46" s="25">
        <f>IF(INDEX('結果'!$C$6:$AX$65,$AY45+1,AK$67+2)="","",INDEX('結果'!$C$6:$AX$65,$AY45+1,AK$67+2))</f>
        <v>2</v>
      </c>
      <c r="AN46" s="26" t="s">
        <v>3</v>
      </c>
      <c r="AO46" s="27">
        <f>IF(AM46="","",INDEX('結果'!$C$6:$AX$65,$AY45+1,AK$67+4))</f>
        <v>1</v>
      </c>
      <c r="AP46" s="28"/>
      <c r="AQ46" s="29"/>
      <c r="AR46" s="509"/>
      <c r="AS46" s="505"/>
      <c r="AT46" s="505"/>
      <c r="AU46" s="489"/>
      <c r="AV46" s="498"/>
      <c r="AW46" s="62"/>
      <c r="AX46" s="555"/>
    </row>
    <row r="47" spans="1:50" ht="10.5" customHeight="1">
      <c r="A47" s="542"/>
      <c r="B47" s="2"/>
      <c r="C47" s="7"/>
      <c r="D47" s="17">
        <f>IF(AH7="","",AH7)</f>
        <v>0</v>
      </c>
      <c r="E47" s="3" t="s">
        <v>3</v>
      </c>
      <c r="F47" s="18">
        <f>IF(AF7="","",AF7)</f>
        <v>5</v>
      </c>
      <c r="G47" s="8"/>
      <c r="H47" s="4"/>
      <c r="I47" s="23"/>
      <c r="J47" s="30"/>
      <c r="K47" s="25">
        <f>IF(AH17="","",AH17)</f>
        <v>0</v>
      </c>
      <c r="L47" s="26" t="s">
        <v>3</v>
      </c>
      <c r="M47" s="27">
        <f>IF(AF17="","",AF17)</f>
        <v>4</v>
      </c>
      <c r="N47" s="31"/>
      <c r="O47" s="29"/>
      <c r="P47" s="23"/>
      <c r="Q47" s="30"/>
      <c r="R47" s="25">
        <f>IF(AH27="","",AH27)</f>
        <v>0</v>
      </c>
      <c r="S47" s="26" t="s">
        <v>3</v>
      </c>
      <c r="T47" s="27">
        <f>IF(AF27="","",AF27)</f>
        <v>7</v>
      </c>
      <c r="U47" s="31"/>
      <c r="V47" s="29"/>
      <c r="W47" s="23"/>
      <c r="X47" s="30"/>
      <c r="Y47" s="25">
        <f>IF(AH37="","",AH37)</f>
        <v>0</v>
      </c>
      <c r="Z47" s="26" t="s">
        <v>3</v>
      </c>
      <c r="AA47" s="27">
        <f>IF(AF37="","",AF37)</f>
        <v>3</v>
      </c>
      <c r="AB47" s="31"/>
      <c r="AC47" s="29"/>
      <c r="AD47" s="23"/>
      <c r="AE47" s="26"/>
      <c r="AF47" s="26"/>
      <c r="AG47" s="26"/>
      <c r="AH47" s="26"/>
      <c r="AI47" s="26"/>
      <c r="AJ47" s="29"/>
      <c r="AK47" s="23"/>
      <c r="AL47" s="30"/>
      <c r="AM47" s="25">
        <f>IF(AM46="","",INDEX('結果'!$C$6:$AX$65,$AY45+2,AK$67+2))</f>
        <v>0</v>
      </c>
      <c r="AN47" s="26" t="s">
        <v>3</v>
      </c>
      <c r="AO47" s="27">
        <f>IF(AM47="","",INDEX('結果'!$C$6:$AX$65,$AY45+2,AK$67+4))</f>
        <v>0</v>
      </c>
      <c r="AP47" s="31"/>
      <c r="AQ47" s="29"/>
      <c r="AR47" s="509"/>
      <c r="AS47" s="505"/>
      <c r="AT47" s="505"/>
      <c r="AU47" s="489"/>
      <c r="AV47" s="498"/>
      <c r="AW47" s="62"/>
      <c r="AX47" s="555"/>
    </row>
    <row r="48" spans="1:50" ht="11.25" customHeight="1">
      <c r="A48" s="542"/>
      <c r="B48" s="66"/>
      <c r="C48" s="512" t="str">
        <f>IF(B49="","",AE8)</f>
        <v>④</v>
      </c>
      <c r="D48" s="512"/>
      <c r="E48" s="513">
        <f>IF(B49="","",AG8)</f>
        <v>41784</v>
      </c>
      <c r="F48" s="513"/>
      <c r="G48" s="513"/>
      <c r="H48" s="514"/>
      <c r="I48" s="117"/>
      <c r="J48" s="512" t="str">
        <f>IF(I49="","",AE18)</f>
        <v>⑦</v>
      </c>
      <c r="K48" s="512"/>
      <c r="L48" s="513">
        <f>IF(I49="","",AG18)</f>
        <v>41826</v>
      </c>
      <c r="M48" s="513"/>
      <c r="N48" s="513"/>
      <c r="O48" s="514"/>
      <c r="P48" s="117"/>
      <c r="Q48" s="512" t="str">
        <f>IF(P49="","",AE28)</f>
        <v>⑥</v>
      </c>
      <c r="R48" s="512"/>
      <c r="S48" s="513">
        <f>IF(P49="","",AG28)</f>
        <v>41818</v>
      </c>
      <c r="T48" s="513"/>
      <c r="U48" s="513"/>
      <c r="V48" s="514"/>
      <c r="W48" s="117"/>
      <c r="X48" s="512" t="str">
        <f>IF(W49="","",AE38)</f>
        <v>④</v>
      </c>
      <c r="Y48" s="512"/>
      <c r="Z48" s="513">
        <f>IF(W49="","",AG38)</f>
        <v>41783</v>
      </c>
      <c r="AA48" s="513"/>
      <c r="AB48" s="513"/>
      <c r="AC48" s="514"/>
      <c r="AD48" s="23"/>
      <c r="AE48" s="26"/>
      <c r="AF48" s="26"/>
      <c r="AG48" s="26"/>
      <c r="AH48" s="26"/>
      <c r="AI48" s="26"/>
      <c r="AJ48" s="29"/>
      <c r="AK48" s="95"/>
      <c r="AL48" s="512" t="str">
        <f>IF(AK49="","",INDEX('結果'!$C$6:$AX$65,$AY45+3,AK$67+1))</f>
        <v>⑤</v>
      </c>
      <c r="AM48" s="512"/>
      <c r="AN48" s="528">
        <f>IF(AK49="","",INDEX('結果'!$C$6:$AX$65,$AY45+3,AK$67+3))</f>
        <v>41791</v>
      </c>
      <c r="AO48" s="528"/>
      <c r="AP48" s="528"/>
      <c r="AQ48" s="529"/>
      <c r="AR48" s="509"/>
      <c r="AS48" s="505"/>
      <c r="AT48" s="505"/>
      <c r="AU48" s="489"/>
      <c r="AV48" s="498"/>
      <c r="AW48" s="62"/>
      <c r="AX48" s="555"/>
    </row>
    <row r="49" spans="1:50" ht="11.25" customHeight="1">
      <c r="A49" s="542"/>
      <c r="B49" s="515" t="str">
        <f>IF(AD9="","",AD9)</f>
        <v>ドーム</v>
      </c>
      <c r="C49" s="516"/>
      <c r="D49" s="516"/>
      <c r="E49" s="516"/>
      <c r="F49" s="516"/>
      <c r="G49" s="516"/>
      <c r="H49" s="517"/>
      <c r="I49" s="515" t="str">
        <f>IF(AD19="","",AD19)</f>
        <v>北星中Ｇ</v>
      </c>
      <c r="J49" s="516"/>
      <c r="K49" s="516"/>
      <c r="L49" s="516"/>
      <c r="M49" s="516"/>
      <c r="N49" s="516"/>
      <c r="O49" s="517"/>
      <c r="P49" s="515" t="str">
        <f>IF(AD29="","",AD29)</f>
        <v>北部公園Ｇ</v>
      </c>
      <c r="Q49" s="516"/>
      <c r="R49" s="516"/>
      <c r="S49" s="516"/>
      <c r="T49" s="516"/>
      <c r="U49" s="516"/>
      <c r="V49" s="517"/>
      <c r="W49" s="515" t="str">
        <f>IF(AD39="","",AD39)</f>
        <v>ドーム</v>
      </c>
      <c r="X49" s="516"/>
      <c r="Y49" s="516"/>
      <c r="Z49" s="516"/>
      <c r="AA49" s="516"/>
      <c r="AB49" s="516"/>
      <c r="AC49" s="517"/>
      <c r="AD49" s="23"/>
      <c r="AE49" s="26"/>
      <c r="AF49" s="26"/>
      <c r="AG49" s="26"/>
      <c r="AH49" s="26"/>
      <c r="AI49" s="26"/>
      <c r="AJ49" s="29"/>
      <c r="AK49" s="531" t="str">
        <f>IF(INDEX('結果'!$C$6:$AX$65,$AY45+4,AK$67)="","",INDEX('結果'!$C$6:$AX$65,$AY45+4,AK$67))</f>
        <v>松任中Ｇ</v>
      </c>
      <c r="AL49" s="512"/>
      <c r="AM49" s="512"/>
      <c r="AN49" s="512"/>
      <c r="AO49" s="512"/>
      <c r="AP49" s="512"/>
      <c r="AQ49" s="532"/>
      <c r="AR49" s="509"/>
      <c r="AS49" s="505"/>
      <c r="AT49" s="505"/>
      <c r="AU49" s="489"/>
      <c r="AV49" s="498"/>
      <c r="AW49" s="62"/>
      <c r="AX49" s="555"/>
    </row>
    <row r="50" spans="1:50" ht="11.25" customHeight="1">
      <c r="A50" s="542"/>
      <c r="B50" s="520">
        <f>IF(D52="","",D51+D52)</f>
        <v>0</v>
      </c>
      <c r="C50" s="518"/>
      <c r="D50" s="518"/>
      <c r="E50" s="11" t="str">
        <f>IF(D52="","",IF(B50=F50,"△",IF(B50&gt;F50,"○","●")))</f>
        <v>●</v>
      </c>
      <c r="F50" s="518">
        <f>IF(F52="","",F51+F52)</f>
        <v>6</v>
      </c>
      <c r="G50" s="518"/>
      <c r="H50" s="519"/>
      <c r="I50" s="558">
        <f>IF(K52="","",K51+K52)</f>
      </c>
      <c r="J50" s="556"/>
      <c r="K50" s="556"/>
      <c r="L50" s="32">
        <f>IF(K52="","",IF(I50=M50,"△",IF(I50&gt;M50,"○","●")))</f>
      </c>
      <c r="M50" s="556">
        <f>IF(M52="","",M51+M52)</f>
      </c>
      <c r="N50" s="556"/>
      <c r="O50" s="557"/>
      <c r="P50" s="558">
        <f>IF(R52="","",R51+R52)</f>
        <v>0</v>
      </c>
      <c r="Q50" s="556"/>
      <c r="R50" s="556"/>
      <c r="S50" s="32" t="str">
        <f>IF(R52="","",IF(P50=T50,"△",IF(P50&gt;T50,"○","●")))</f>
        <v>●</v>
      </c>
      <c r="T50" s="556">
        <f>IF(T52="","",T51+T52)</f>
        <v>1</v>
      </c>
      <c r="U50" s="556"/>
      <c r="V50" s="557"/>
      <c r="W50" s="558">
        <f>IF(Y52="","",Y51+Y52)</f>
        <v>2</v>
      </c>
      <c r="X50" s="556"/>
      <c r="Y50" s="556"/>
      <c r="Z50" s="32" t="str">
        <f>IF(Y52="","",IF(W50=AA50,"△",IF(W50&gt;AA50,"○","●")))</f>
        <v>○</v>
      </c>
      <c r="AA50" s="556">
        <f>IF(AA52="","",AA51+AA52)</f>
        <v>0</v>
      </c>
      <c r="AB50" s="556"/>
      <c r="AC50" s="557"/>
      <c r="AD50" s="23"/>
      <c r="AE50" s="26"/>
      <c r="AF50" s="26"/>
      <c r="AG50" s="26"/>
      <c r="AH50" s="26"/>
      <c r="AI50" s="26"/>
      <c r="AJ50" s="29"/>
      <c r="AK50" s="558">
        <f>IF(AM52="","",AM51+AM52)</f>
      </c>
      <c r="AL50" s="556"/>
      <c r="AM50" s="556"/>
      <c r="AN50" s="32">
        <f>IF(AM52="","",IF(AK50=AO50,"△",IF(AK50&gt;AO50,"○","●")))</f>
      </c>
      <c r="AO50" s="556">
        <f>IF(AO52="","",AO51+AO52)</f>
      </c>
      <c r="AP50" s="556"/>
      <c r="AQ50" s="557"/>
      <c r="AR50" s="509"/>
      <c r="AS50" s="505"/>
      <c r="AT50" s="505"/>
      <c r="AU50" s="489"/>
      <c r="AV50" s="498"/>
      <c r="AW50" s="62"/>
      <c r="AX50" s="555"/>
    </row>
    <row r="51" spans="1:50" ht="11.25" customHeight="1">
      <c r="A51" s="542"/>
      <c r="B51" s="2"/>
      <c r="C51" s="5"/>
      <c r="D51" s="17">
        <f>IF(AH11="","",AH11)</f>
        <v>0</v>
      </c>
      <c r="E51" s="3" t="s">
        <v>3</v>
      </c>
      <c r="F51" s="18">
        <f>IF(AF11="","",AF11)</f>
        <v>1</v>
      </c>
      <c r="G51" s="6"/>
      <c r="H51" s="4"/>
      <c r="I51" s="23"/>
      <c r="J51" s="24"/>
      <c r="K51" s="25">
        <f>IF(AH21="","",AH21)</f>
      </c>
      <c r="L51" s="26" t="s">
        <v>3</v>
      </c>
      <c r="M51" s="27">
        <f>IF(AF21="","",AF21)</f>
      </c>
      <c r="N51" s="28"/>
      <c r="O51" s="29"/>
      <c r="P51" s="23"/>
      <c r="Q51" s="24"/>
      <c r="R51" s="25">
        <f>IF(AH31="","",AH31)</f>
        <v>0</v>
      </c>
      <c r="S51" s="26" t="s">
        <v>3</v>
      </c>
      <c r="T51" s="27">
        <f>IF(AF31="","",AF31)</f>
        <v>1</v>
      </c>
      <c r="U51" s="28"/>
      <c r="V51" s="29"/>
      <c r="W51" s="23"/>
      <c r="X51" s="24"/>
      <c r="Y51" s="25">
        <f>IF(AH41="","",AH41)</f>
        <v>0</v>
      </c>
      <c r="Z51" s="26" t="s">
        <v>3</v>
      </c>
      <c r="AA51" s="27">
        <f>IF(AF41="","",AF41)</f>
        <v>0</v>
      </c>
      <c r="AB51" s="28"/>
      <c r="AC51" s="29"/>
      <c r="AD51" s="23"/>
      <c r="AE51" s="26"/>
      <c r="AF51" s="26"/>
      <c r="AG51" s="26"/>
      <c r="AH51" s="26"/>
      <c r="AI51" s="26"/>
      <c r="AJ51" s="29"/>
      <c r="AK51" s="23"/>
      <c r="AL51" s="24"/>
      <c r="AM51" s="25">
        <f>IF(INDEX('結果'!$C$6:$AX$65,$AY45+6,AK$67+2)="","",INDEX('結果'!$C$6:$AX$65,$AY45+6,AK$67+2))</f>
      </c>
      <c r="AN51" s="26" t="s">
        <v>3</v>
      </c>
      <c r="AO51" s="27">
        <f>IF(AM51="","",INDEX('結果'!$C$6:$AX$65,$AY45+6,AK$67+4))</f>
      </c>
      <c r="AP51" s="28"/>
      <c r="AQ51" s="29"/>
      <c r="AR51" s="509"/>
      <c r="AS51" s="505"/>
      <c r="AT51" s="505"/>
      <c r="AU51" s="489"/>
      <c r="AV51" s="498"/>
      <c r="AW51" s="62"/>
      <c r="AX51" s="555"/>
    </row>
    <row r="52" spans="1:50" ht="11.25" customHeight="1">
      <c r="A52" s="542"/>
      <c r="B52" s="2"/>
      <c r="C52" s="7"/>
      <c r="D52" s="17">
        <f>IF(AH12="","",AH12)</f>
        <v>0</v>
      </c>
      <c r="E52" s="3" t="s">
        <v>3</v>
      </c>
      <c r="F52" s="18">
        <f>IF(AF12="","",AF12)</f>
        <v>5</v>
      </c>
      <c r="G52" s="8"/>
      <c r="H52" s="4"/>
      <c r="I52" s="23"/>
      <c r="J52" s="30"/>
      <c r="K52" s="25">
        <f>IF(AH22="","",AH22)</f>
      </c>
      <c r="L52" s="26" t="s">
        <v>3</v>
      </c>
      <c r="M52" s="27">
        <f>IF(AF22="","",AF22)</f>
      </c>
      <c r="N52" s="31"/>
      <c r="O52" s="29"/>
      <c r="P52" s="23"/>
      <c r="Q52" s="30"/>
      <c r="R52" s="25">
        <f>IF(AH32="","",AH32)</f>
        <v>0</v>
      </c>
      <c r="S52" s="26" t="s">
        <v>3</v>
      </c>
      <c r="T52" s="27">
        <f>IF(AF32="","",AF32)</f>
        <v>0</v>
      </c>
      <c r="U52" s="31"/>
      <c r="V52" s="29"/>
      <c r="W52" s="23"/>
      <c r="X52" s="30"/>
      <c r="Y52" s="25">
        <f>IF(AH42="","",AH42)</f>
        <v>2</v>
      </c>
      <c r="Z52" s="26" t="s">
        <v>3</v>
      </c>
      <c r="AA52" s="27">
        <f>IF(AF42="","",AF42)</f>
        <v>0</v>
      </c>
      <c r="AB52" s="31"/>
      <c r="AC52" s="29"/>
      <c r="AD52" s="23"/>
      <c r="AE52" s="26"/>
      <c r="AF52" s="26"/>
      <c r="AG52" s="26"/>
      <c r="AH52" s="26"/>
      <c r="AI52" s="26"/>
      <c r="AJ52" s="29"/>
      <c r="AK52" s="23"/>
      <c r="AL52" s="30"/>
      <c r="AM52" s="25">
        <f>IF(AM51="","",INDEX('結果'!$C$6:$AX$65,$AY45+7,AK$67+2))</f>
      </c>
      <c r="AN52" s="26" t="s">
        <v>3</v>
      </c>
      <c r="AO52" s="27">
        <f>IF(AM52="","",INDEX('結果'!$C$6:$AX$65,$AY45+7,AK$67+4))</f>
      </c>
      <c r="AP52" s="31"/>
      <c r="AQ52" s="29"/>
      <c r="AR52" s="509"/>
      <c r="AS52" s="505"/>
      <c r="AT52" s="505"/>
      <c r="AU52" s="489"/>
      <c r="AV52" s="498"/>
      <c r="AW52" s="62"/>
      <c r="AX52" s="555"/>
    </row>
    <row r="53" spans="1:50" ht="11.25" customHeight="1">
      <c r="A53" s="542"/>
      <c r="B53" s="66"/>
      <c r="C53" s="512" t="str">
        <f>IF(B54="","",AE13)</f>
        <v>⑧</v>
      </c>
      <c r="D53" s="512"/>
      <c r="E53" s="513">
        <f>IF(B54="","",AG13)</f>
        <v>41847</v>
      </c>
      <c r="F53" s="513"/>
      <c r="G53" s="513"/>
      <c r="H53" s="514"/>
      <c r="I53" s="117"/>
      <c r="J53" s="512" t="str">
        <f>IF(I54="","",AE23)</f>
        <v>⑪</v>
      </c>
      <c r="K53" s="512"/>
      <c r="L53" s="513">
        <f>IF(I54="","",AG23)</f>
        <v>41909</v>
      </c>
      <c r="M53" s="513"/>
      <c r="N53" s="513"/>
      <c r="O53" s="514"/>
      <c r="P53" s="117"/>
      <c r="Q53" s="512" t="str">
        <f>IF(P54="","",AE33)</f>
        <v>⑨</v>
      </c>
      <c r="R53" s="512"/>
      <c r="S53" s="513">
        <f>IF(P54="","",AG33)</f>
        <v>41860</v>
      </c>
      <c r="T53" s="513"/>
      <c r="U53" s="513"/>
      <c r="V53" s="514"/>
      <c r="W53" s="117"/>
      <c r="X53" s="512" t="str">
        <f>IF(W54="","",AE43)</f>
        <v>⑩</v>
      </c>
      <c r="Y53" s="512"/>
      <c r="Z53" s="513">
        <f>IF(W54="","",AG43)</f>
        <v>41895</v>
      </c>
      <c r="AA53" s="513"/>
      <c r="AB53" s="513"/>
      <c r="AC53" s="514"/>
      <c r="AD53" s="23"/>
      <c r="AE53" s="26"/>
      <c r="AF53" s="26"/>
      <c r="AG53" s="26"/>
      <c r="AH53" s="26"/>
      <c r="AI53" s="26"/>
      <c r="AJ53" s="29"/>
      <c r="AK53" s="95"/>
      <c r="AL53" s="512" t="str">
        <f>IF(AK54="","",INDEX('結果'!$C$6:$AX$65,$AY45+8,AK$67+1))</f>
        <v>⑬</v>
      </c>
      <c r="AM53" s="512"/>
      <c r="AN53" s="528">
        <f>IF(AK54="","",INDEX('結果'!$C$6:$AX$65,$AY45+8,AK$67+3))</f>
        <v>41938</v>
      </c>
      <c r="AO53" s="528"/>
      <c r="AP53" s="528"/>
      <c r="AQ53" s="529"/>
      <c r="AR53" s="509"/>
      <c r="AS53" s="505"/>
      <c r="AT53" s="505"/>
      <c r="AU53" s="489"/>
      <c r="AV53" s="498"/>
      <c r="AW53" s="62"/>
      <c r="AX53" s="555"/>
    </row>
    <row r="54" spans="1:50" ht="11.25" customHeight="1">
      <c r="A54" s="544"/>
      <c r="B54" s="515" t="str">
        <f>IF(AD14="","",AD14)</f>
        <v>松任中Ｇ</v>
      </c>
      <c r="C54" s="516"/>
      <c r="D54" s="516"/>
      <c r="E54" s="516"/>
      <c r="F54" s="516"/>
      <c r="G54" s="516"/>
      <c r="H54" s="517"/>
      <c r="I54" s="515" t="str">
        <f>IF(AD24="","",AD24)</f>
        <v>金沢市営</v>
      </c>
      <c r="J54" s="516"/>
      <c r="K54" s="516"/>
      <c r="L54" s="516"/>
      <c r="M54" s="516"/>
      <c r="N54" s="516"/>
      <c r="O54" s="517"/>
      <c r="P54" s="515" t="str">
        <f>IF(AD34="","",AD34)</f>
        <v>松任中Ｇ</v>
      </c>
      <c r="Q54" s="516"/>
      <c r="R54" s="516"/>
      <c r="S54" s="516"/>
      <c r="T54" s="516"/>
      <c r="U54" s="516"/>
      <c r="V54" s="517"/>
      <c r="W54" s="515" t="str">
        <f>IF(AD44="","",AD44)</f>
        <v>野田中Ｇ</v>
      </c>
      <c r="X54" s="516"/>
      <c r="Y54" s="516"/>
      <c r="Z54" s="516"/>
      <c r="AA54" s="516"/>
      <c r="AB54" s="516"/>
      <c r="AC54" s="517"/>
      <c r="AD54" s="23"/>
      <c r="AE54" s="26"/>
      <c r="AF54" s="26"/>
      <c r="AG54" s="26"/>
      <c r="AH54" s="26"/>
      <c r="AI54" s="26"/>
      <c r="AJ54" s="29"/>
      <c r="AK54" s="515" t="str">
        <f>IF(INDEX('結果'!$C$6:$AX$65,$AY45+9,AK$67)="","",INDEX('結果'!$C$6:$AX$65,$AY45+9,AK$67))</f>
        <v>松任公園Ｇ</v>
      </c>
      <c r="AL54" s="516"/>
      <c r="AM54" s="516"/>
      <c r="AN54" s="516"/>
      <c r="AO54" s="516"/>
      <c r="AP54" s="516"/>
      <c r="AQ54" s="517"/>
      <c r="AR54" s="510"/>
      <c r="AS54" s="506"/>
      <c r="AT54" s="506"/>
      <c r="AU54" s="507"/>
      <c r="AV54" s="500"/>
      <c r="AW54" s="62"/>
      <c r="AX54" s="555"/>
    </row>
    <row r="55" spans="1:51" ht="11.25" customHeight="1">
      <c r="A55" s="541" t="str">
        <f>INDEX('結果'!$B$6:$AX$65,MATCH($AX55,'結果'!BB$6:BB$65,0),1)</f>
        <v>松任中学校</v>
      </c>
      <c r="B55" s="521">
        <f>IF(D57="","",D56+D57)</f>
        <v>0</v>
      </c>
      <c r="C55" s="518"/>
      <c r="D55" s="518"/>
      <c r="E55" s="11" t="str">
        <f>IF(D57="","",IF(B55=F55,"△",IF(B55&gt;F55,"○","●")))</f>
        <v>●</v>
      </c>
      <c r="F55" s="518">
        <f>IF(F57="","",F56+F57)</f>
        <v>7</v>
      </c>
      <c r="G55" s="518"/>
      <c r="H55" s="519"/>
      <c r="I55" s="558">
        <f>IF(K57="","",K56+K57)</f>
        <v>0</v>
      </c>
      <c r="J55" s="556"/>
      <c r="K55" s="556"/>
      <c r="L55" s="32" t="str">
        <f>IF(K57="","",IF(I55=M55,"△",IF(I55&gt;M55,"○","●")))</f>
        <v>●</v>
      </c>
      <c r="M55" s="556">
        <f>IF(M57="","",M56+M57)</f>
        <v>5</v>
      </c>
      <c r="N55" s="556"/>
      <c r="O55" s="557"/>
      <c r="P55" s="558">
        <f>IF(R57="","",R56+R57)</f>
        <v>0</v>
      </c>
      <c r="Q55" s="556"/>
      <c r="R55" s="556"/>
      <c r="S55" s="32" t="str">
        <f>IF(R57="","",IF(P55=T55,"△",IF(P55&gt;T55,"○","●")))</f>
        <v>●</v>
      </c>
      <c r="T55" s="556">
        <f>IF(T57="","",T56+T57)</f>
        <v>11</v>
      </c>
      <c r="U55" s="556"/>
      <c r="V55" s="557"/>
      <c r="W55" s="558">
        <f>IF(Y57="","",Y56+Y57)</f>
        <v>0</v>
      </c>
      <c r="X55" s="556"/>
      <c r="Y55" s="556"/>
      <c r="Z55" s="32" t="str">
        <f>IF(Y57="","",IF(W55=AA55,"△",IF(W55&gt;AA55,"○","●")))</f>
        <v>●</v>
      </c>
      <c r="AA55" s="556">
        <f>IF(AA57="","",AA56+AA57)</f>
        <v>5</v>
      </c>
      <c r="AB55" s="556"/>
      <c r="AC55" s="557"/>
      <c r="AD55" s="558">
        <f>IF(AF57="","",AF56+AF57)</f>
        <v>1</v>
      </c>
      <c r="AE55" s="556"/>
      <c r="AF55" s="556"/>
      <c r="AG55" s="32" t="str">
        <f>IF(AF57="","",IF(AD55=AH55,"△",IF(AD55&gt;AH55,"○","●")))</f>
        <v>●</v>
      </c>
      <c r="AH55" s="556">
        <f>IF(AH57="","",AH56+AH57)</f>
        <v>2</v>
      </c>
      <c r="AI55" s="556"/>
      <c r="AJ55" s="557"/>
      <c r="AK55" s="24"/>
      <c r="AL55" s="116"/>
      <c r="AM55" s="116"/>
      <c r="AN55" s="116"/>
      <c r="AO55" s="116"/>
      <c r="AP55" s="116"/>
      <c r="AQ55" s="28"/>
      <c r="AR55" s="508">
        <f>IF(COUNT(B56:AQ56)=0,"",COUNTIF(AN$5:AN$64,"●")*3+COUNTIF(AN$5:AN$64,"△"))</f>
        <v>0</v>
      </c>
      <c r="AS55" s="504">
        <f>IF(AR55="","",SUM(AO$5:AO$64)/2)</f>
        <v>1</v>
      </c>
      <c r="AT55" s="504">
        <f>IF(AR55="","",SUM(AK$5:AK$64))</f>
        <v>39</v>
      </c>
      <c r="AU55" s="488">
        <f>IF(AR55="","",AS55-AT55)</f>
        <v>-38</v>
      </c>
      <c r="AV55" s="499">
        <f>IF(AR55="","",RANK(AW55,AW$5:AW$64))</f>
        <v>6</v>
      </c>
      <c r="AW55" s="62">
        <f>IF(AR55="",-ROW()*10000,AR55*10000+AU55*100+AS55+COUNTIF(B55:AQ55,"&gt;=0")/20)</f>
        <v>-3798.5</v>
      </c>
      <c r="AX55" s="555">
        <v>6</v>
      </c>
      <c r="AY55" s="1">
        <f>INDEX('結果'!AY$6:AZ$65,MATCH(AX55,'結果'!BB$6:BB$65,0),2)</f>
        <v>1</v>
      </c>
    </row>
    <row r="56" spans="1:50" ht="10.5" customHeight="1">
      <c r="A56" s="542"/>
      <c r="B56" s="3"/>
      <c r="C56" s="5"/>
      <c r="D56" s="17">
        <f>IF(AO6="","",AO6)</f>
        <v>0</v>
      </c>
      <c r="E56" s="3" t="s">
        <v>3</v>
      </c>
      <c r="F56" s="18">
        <f>IF(AM6="","",AM6)</f>
        <v>3</v>
      </c>
      <c r="G56" s="6"/>
      <c r="H56" s="4"/>
      <c r="I56" s="23"/>
      <c r="J56" s="24"/>
      <c r="K56" s="25">
        <f>IF(AO16="","",AO16)</f>
        <v>0</v>
      </c>
      <c r="L56" s="26" t="s">
        <v>3</v>
      </c>
      <c r="M56" s="27">
        <f>IF(AM16="","",AM16)</f>
        <v>0</v>
      </c>
      <c r="N56" s="28"/>
      <c r="O56" s="29"/>
      <c r="P56" s="23"/>
      <c r="Q56" s="24"/>
      <c r="R56" s="25">
        <f>IF(AO26="","",AO26)</f>
        <v>0</v>
      </c>
      <c r="S56" s="26" t="s">
        <v>3</v>
      </c>
      <c r="T56" s="27">
        <f>IF(AM26="","",AM26)</f>
        <v>4</v>
      </c>
      <c r="U56" s="28"/>
      <c r="V56" s="29"/>
      <c r="W56" s="23"/>
      <c r="X56" s="24"/>
      <c r="Y56" s="25">
        <f>IF(AO36="","",AO36)</f>
        <v>0</v>
      </c>
      <c r="Z56" s="26" t="s">
        <v>3</v>
      </c>
      <c r="AA56" s="27">
        <f>IF(AM36="","",AM36)</f>
        <v>1</v>
      </c>
      <c r="AB56" s="28"/>
      <c r="AC56" s="29"/>
      <c r="AD56" s="23"/>
      <c r="AE56" s="24"/>
      <c r="AF56" s="25">
        <f>IF(AO46="","",AO46)</f>
        <v>1</v>
      </c>
      <c r="AG56" s="26" t="s">
        <v>3</v>
      </c>
      <c r="AH56" s="27">
        <f>IF(AM46="","",AM46)</f>
        <v>2</v>
      </c>
      <c r="AI56" s="28"/>
      <c r="AJ56" s="29"/>
      <c r="AK56" s="23"/>
      <c r="AL56" s="26"/>
      <c r="AM56" s="26"/>
      <c r="AN56" s="26"/>
      <c r="AO56" s="26"/>
      <c r="AP56" s="26"/>
      <c r="AQ56" s="29"/>
      <c r="AR56" s="509"/>
      <c r="AS56" s="505"/>
      <c r="AT56" s="505"/>
      <c r="AU56" s="489"/>
      <c r="AV56" s="498"/>
      <c r="AW56" s="62"/>
      <c r="AX56" s="555"/>
    </row>
    <row r="57" spans="1:50" ht="10.5" customHeight="1">
      <c r="A57" s="542"/>
      <c r="B57" s="3"/>
      <c r="C57" s="7"/>
      <c r="D57" s="17">
        <f>IF(AO7="","",AO7)</f>
        <v>0</v>
      </c>
      <c r="E57" s="3" t="s">
        <v>3</v>
      </c>
      <c r="F57" s="18">
        <f>IF(AM7="","",AM7)</f>
        <v>4</v>
      </c>
      <c r="G57" s="8"/>
      <c r="H57" s="4"/>
      <c r="I57" s="23"/>
      <c r="J57" s="30"/>
      <c r="K57" s="25">
        <f>IF(AO17="","",AO17)</f>
        <v>0</v>
      </c>
      <c r="L57" s="26" t="s">
        <v>3</v>
      </c>
      <c r="M57" s="27">
        <f>IF(AM17="","",AM17)</f>
        <v>5</v>
      </c>
      <c r="N57" s="31"/>
      <c r="O57" s="29"/>
      <c r="P57" s="23"/>
      <c r="Q57" s="30"/>
      <c r="R57" s="25">
        <f>IF(AO27="","",AO27)</f>
        <v>0</v>
      </c>
      <c r="S57" s="26" t="s">
        <v>3</v>
      </c>
      <c r="T57" s="27">
        <f>IF(AM27="","",AM27)</f>
        <v>7</v>
      </c>
      <c r="U57" s="31"/>
      <c r="V57" s="29"/>
      <c r="W57" s="23"/>
      <c r="X57" s="30"/>
      <c r="Y57" s="25">
        <f>IF(AO37="","",AO37)</f>
        <v>0</v>
      </c>
      <c r="Z57" s="26" t="s">
        <v>3</v>
      </c>
      <c r="AA57" s="27">
        <f>IF(AM37="","",AM37)</f>
        <v>4</v>
      </c>
      <c r="AB57" s="31"/>
      <c r="AC57" s="29"/>
      <c r="AD57" s="23"/>
      <c r="AE57" s="30"/>
      <c r="AF57" s="25">
        <f>IF(AO47="","",AO47)</f>
        <v>0</v>
      </c>
      <c r="AG57" s="26" t="s">
        <v>3</v>
      </c>
      <c r="AH57" s="27">
        <f>IF(AM47="","",AM47)</f>
        <v>0</v>
      </c>
      <c r="AI57" s="31"/>
      <c r="AJ57" s="29"/>
      <c r="AK57" s="23"/>
      <c r="AL57" s="26"/>
      <c r="AM57" s="26"/>
      <c r="AN57" s="26"/>
      <c r="AO57" s="26"/>
      <c r="AP57" s="26"/>
      <c r="AQ57" s="29"/>
      <c r="AR57" s="509"/>
      <c r="AS57" s="505"/>
      <c r="AT57" s="505"/>
      <c r="AU57" s="489"/>
      <c r="AV57" s="498"/>
      <c r="AW57" s="62"/>
      <c r="AX57" s="555"/>
    </row>
    <row r="58" spans="1:50" ht="11.25" customHeight="1">
      <c r="A58" s="542"/>
      <c r="B58" s="66"/>
      <c r="C58" s="512" t="str">
        <f>IF(B59="","",AL8)</f>
        <v>⑤</v>
      </c>
      <c r="D58" s="512"/>
      <c r="E58" s="513">
        <f>IF(B59="","",AN8)</f>
        <v>41797</v>
      </c>
      <c r="F58" s="513"/>
      <c r="G58" s="513"/>
      <c r="H58" s="514"/>
      <c r="I58" s="117"/>
      <c r="J58" s="512" t="str">
        <f>IF(I59="","",AL18)</f>
        <v>⑦</v>
      </c>
      <c r="K58" s="512"/>
      <c r="L58" s="513">
        <f>IF(I59="","",AN18)</f>
        <v>41833</v>
      </c>
      <c r="M58" s="513"/>
      <c r="N58" s="513"/>
      <c r="O58" s="514"/>
      <c r="P58" s="117"/>
      <c r="Q58" s="512" t="str">
        <f>IF(P59="","",AL28)</f>
        <v>⑥</v>
      </c>
      <c r="R58" s="512"/>
      <c r="S58" s="513">
        <f>IF(P59="","",AN28)</f>
        <v>41819</v>
      </c>
      <c r="T58" s="513"/>
      <c r="U58" s="513"/>
      <c r="V58" s="514"/>
      <c r="W58" s="117"/>
      <c r="X58" s="512" t="str">
        <f>IF(W59="","",AL38)</f>
        <v>⑤</v>
      </c>
      <c r="Y58" s="512"/>
      <c r="Z58" s="513">
        <f>IF(W59="","",AN38)</f>
        <v>41804</v>
      </c>
      <c r="AA58" s="513"/>
      <c r="AB58" s="513"/>
      <c r="AC58" s="514"/>
      <c r="AD58" s="117"/>
      <c r="AE58" s="512" t="str">
        <f>IF(AD59="","",AL48)</f>
        <v>⑤</v>
      </c>
      <c r="AF58" s="512"/>
      <c r="AG58" s="513">
        <f>IF(AD59="","",AN48)</f>
        <v>41791</v>
      </c>
      <c r="AH58" s="513"/>
      <c r="AI58" s="513"/>
      <c r="AJ58" s="514"/>
      <c r="AK58" s="23"/>
      <c r="AL58" s="26"/>
      <c r="AM58" s="26"/>
      <c r="AN58" s="26"/>
      <c r="AO58" s="26"/>
      <c r="AP58" s="26"/>
      <c r="AQ58" s="29"/>
      <c r="AR58" s="509"/>
      <c r="AS58" s="505"/>
      <c r="AT58" s="505"/>
      <c r="AU58" s="489"/>
      <c r="AV58" s="498"/>
      <c r="AW58" s="62"/>
      <c r="AX58" s="555"/>
    </row>
    <row r="59" spans="1:50" ht="11.25" customHeight="1">
      <c r="A59" s="542"/>
      <c r="B59" s="515" t="str">
        <f>IF(AK9="","",AK9)</f>
        <v>高岡中Ｇ</v>
      </c>
      <c r="C59" s="516"/>
      <c r="D59" s="516"/>
      <c r="E59" s="516"/>
      <c r="F59" s="516"/>
      <c r="G59" s="516"/>
      <c r="H59" s="517"/>
      <c r="I59" s="515" t="str">
        <f>IF(AK19="","",AK19)</f>
        <v>松任中Ｇ</v>
      </c>
      <c r="J59" s="516"/>
      <c r="K59" s="516"/>
      <c r="L59" s="516"/>
      <c r="M59" s="516"/>
      <c r="N59" s="516"/>
      <c r="O59" s="517"/>
      <c r="P59" s="515" t="str">
        <f>IF(AK29="","",AK29)</f>
        <v>松任公園Ｇ</v>
      </c>
      <c r="Q59" s="516"/>
      <c r="R59" s="516"/>
      <c r="S59" s="516"/>
      <c r="T59" s="516"/>
      <c r="U59" s="516"/>
      <c r="V59" s="517"/>
      <c r="W59" s="515" t="str">
        <f>IF(AK39="","",AK39)</f>
        <v>安原</v>
      </c>
      <c r="X59" s="516"/>
      <c r="Y59" s="516"/>
      <c r="Z59" s="516"/>
      <c r="AA59" s="516"/>
      <c r="AB59" s="516"/>
      <c r="AC59" s="517"/>
      <c r="AD59" s="515" t="str">
        <f>IF(AK49="","",AK49)</f>
        <v>松任中Ｇ</v>
      </c>
      <c r="AE59" s="516"/>
      <c r="AF59" s="516"/>
      <c r="AG59" s="516"/>
      <c r="AH59" s="516"/>
      <c r="AI59" s="516"/>
      <c r="AJ59" s="517"/>
      <c r="AK59" s="23"/>
      <c r="AL59" s="26"/>
      <c r="AM59" s="26"/>
      <c r="AN59" s="26"/>
      <c r="AO59" s="26"/>
      <c r="AP59" s="26"/>
      <c r="AQ59" s="29"/>
      <c r="AR59" s="509"/>
      <c r="AS59" s="505"/>
      <c r="AT59" s="505"/>
      <c r="AU59" s="489"/>
      <c r="AV59" s="498"/>
      <c r="AW59" s="62"/>
      <c r="AX59" s="555"/>
    </row>
    <row r="60" spans="1:50" ht="11.25" customHeight="1">
      <c r="A60" s="542"/>
      <c r="B60" s="521">
        <f>IF(D62="","",D61+D62)</f>
        <v>0</v>
      </c>
      <c r="C60" s="518"/>
      <c r="D60" s="518"/>
      <c r="E60" s="11" t="str">
        <f>IF(D62="","",IF(B60=F60,"△",IF(B60&gt;F60,"○","●")))</f>
        <v>●</v>
      </c>
      <c r="F60" s="518">
        <f>IF(F62="","",F61+F62)</f>
        <v>3</v>
      </c>
      <c r="G60" s="518"/>
      <c r="H60" s="519"/>
      <c r="I60" s="558">
        <f>IF(K62="","",K61+K62)</f>
        <v>0</v>
      </c>
      <c r="J60" s="556"/>
      <c r="K60" s="556"/>
      <c r="L60" s="32" t="str">
        <f>IF(K62="","",IF(I60=M60,"△",IF(I60&gt;M60,"○","●")))</f>
        <v>●</v>
      </c>
      <c r="M60" s="556">
        <f>IF(M62="","",M61+M62)</f>
        <v>3</v>
      </c>
      <c r="N60" s="556"/>
      <c r="O60" s="557"/>
      <c r="P60" s="558">
        <f>IF(R62="","",R61+R62)</f>
      </c>
      <c r="Q60" s="556"/>
      <c r="R60" s="556"/>
      <c r="S60" s="32">
        <f>IF(R62="","",IF(P60=T60,"△",IF(P60&gt;T60,"○","●")))</f>
      </c>
      <c r="T60" s="556">
        <f>IF(T62="","",T61+T62)</f>
      </c>
      <c r="U60" s="556"/>
      <c r="V60" s="557"/>
      <c r="W60" s="558">
        <f>IF(Y62="","",Y61+Y62)</f>
        <v>0</v>
      </c>
      <c r="X60" s="556"/>
      <c r="Y60" s="556"/>
      <c r="Z60" s="32" t="str">
        <f>IF(Y62="","",IF(W60=AA60,"△",IF(W60&gt;AA60,"○","●")))</f>
        <v>●</v>
      </c>
      <c r="AA60" s="556">
        <f>IF(AA62="","",AA61+AA62)</f>
        <v>3</v>
      </c>
      <c r="AB60" s="556"/>
      <c r="AC60" s="557"/>
      <c r="AD60" s="558">
        <f>IF(AF62="","",AF61+AF62)</f>
      </c>
      <c r="AE60" s="556"/>
      <c r="AF60" s="556"/>
      <c r="AG60" s="32">
        <f>IF(AF62="","",IF(AD60=AH60,"△",IF(AD60&gt;AH60,"○","●")))</f>
      </c>
      <c r="AH60" s="556">
        <f>IF(AH62="","",AH61+AH62)</f>
      </c>
      <c r="AI60" s="556"/>
      <c r="AJ60" s="557"/>
      <c r="AK60" s="23"/>
      <c r="AL60" s="26"/>
      <c r="AM60" s="26"/>
      <c r="AN60" s="26"/>
      <c r="AO60" s="26"/>
      <c r="AP60" s="26"/>
      <c r="AQ60" s="29"/>
      <c r="AR60" s="509"/>
      <c r="AS60" s="505"/>
      <c r="AT60" s="505"/>
      <c r="AU60" s="489"/>
      <c r="AV60" s="498"/>
      <c r="AW60" s="62"/>
      <c r="AX60" s="555"/>
    </row>
    <row r="61" spans="1:50" ht="11.25" customHeight="1">
      <c r="A61" s="542"/>
      <c r="B61" s="3"/>
      <c r="C61" s="5"/>
      <c r="D61" s="17">
        <f>IF(AO11="","",AO11)</f>
        <v>0</v>
      </c>
      <c r="E61" s="3" t="s">
        <v>3</v>
      </c>
      <c r="F61" s="18">
        <f>IF(AM11="","",AM11)</f>
        <v>2</v>
      </c>
      <c r="G61" s="6"/>
      <c r="H61" s="4"/>
      <c r="I61" s="23"/>
      <c r="J61" s="24"/>
      <c r="K61" s="25">
        <f>IF(AO21="","",AO21)</f>
        <v>0</v>
      </c>
      <c r="L61" s="26" t="s">
        <v>3</v>
      </c>
      <c r="M61" s="27">
        <f>IF(AM21="","",AM21)</f>
        <v>0</v>
      </c>
      <c r="N61" s="28"/>
      <c r="O61" s="29"/>
      <c r="P61" s="23"/>
      <c r="Q61" s="24"/>
      <c r="R61" s="25">
        <f>IF(AO31="","",AO31)</f>
      </c>
      <c r="S61" s="26" t="s">
        <v>3</v>
      </c>
      <c r="T61" s="27">
        <f>IF(AM31="","",AM31)</f>
      </c>
      <c r="U61" s="28"/>
      <c r="V61" s="29"/>
      <c r="W61" s="23"/>
      <c r="X61" s="24"/>
      <c r="Y61" s="25">
        <f>IF(AO41="","",AO41)</f>
        <v>0</v>
      </c>
      <c r="Z61" s="26" t="s">
        <v>3</v>
      </c>
      <c r="AA61" s="27">
        <f>IF(AM41="","",AM41)</f>
        <v>1</v>
      </c>
      <c r="AB61" s="28"/>
      <c r="AC61" s="29"/>
      <c r="AD61" s="23"/>
      <c r="AE61" s="24"/>
      <c r="AF61" s="25">
        <f>IF(AO51="","",AO51)</f>
      </c>
      <c r="AG61" s="26" t="s">
        <v>3</v>
      </c>
      <c r="AH61" s="27">
        <f>IF(AM51="","",AM51)</f>
      </c>
      <c r="AI61" s="28"/>
      <c r="AJ61" s="29"/>
      <c r="AK61" s="23"/>
      <c r="AL61" s="26"/>
      <c r="AM61" s="26"/>
      <c r="AN61" s="26"/>
      <c r="AO61" s="26"/>
      <c r="AP61" s="26"/>
      <c r="AQ61" s="29"/>
      <c r="AR61" s="509"/>
      <c r="AS61" s="505"/>
      <c r="AT61" s="505"/>
      <c r="AU61" s="489"/>
      <c r="AV61" s="498"/>
      <c r="AW61" s="62"/>
      <c r="AX61" s="555"/>
    </row>
    <row r="62" spans="1:50" ht="11.25" customHeight="1">
      <c r="A62" s="542"/>
      <c r="B62" s="3"/>
      <c r="C62" s="7"/>
      <c r="D62" s="17">
        <f>IF(AO12="","",AO12)</f>
        <v>0</v>
      </c>
      <c r="E62" s="3" t="s">
        <v>3</v>
      </c>
      <c r="F62" s="18">
        <f>IF(AM12="","",AM12)</f>
        <v>1</v>
      </c>
      <c r="G62" s="8"/>
      <c r="H62" s="4"/>
      <c r="I62" s="23"/>
      <c r="J62" s="30"/>
      <c r="K62" s="25">
        <f>IF(AO22="","",AO22)</f>
        <v>0</v>
      </c>
      <c r="L62" s="26" t="s">
        <v>3</v>
      </c>
      <c r="M62" s="27">
        <f>IF(AM22="","",AM22)</f>
        <v>3</v>
      </c>
      <c r="N62" s="31"/>
      <c r="O62" s="29"/>
      <c r="P62" s="23"/>
      <c r="Q62" s="30"/>
      <c r="R62" s="25">
        <f>IF(AO32="","",AO32)</f>
      </c>
      <c r="S62" s="26" t="s">
        <v>3</v>
      </c>
      <c r="T62" s="27">
        <f>IF(AM32="","",AM32)</f>
      </c>
      <c r="U62" s="31"/>
      <c r="V62" s="29"/>
      <c r="W62" s="23"/>
      <c r="X62" s="30"/>
      <c r="Y62" s="25">
        <f>IF(AO42="","",AO42)</f>
        <v>0</v>
      </c>
      <c r="Z62" s="26" t="s">
        <v>3</v>
      </c>
      <c r="AA62" s="27">
        <f>IF(AM42="","",AM42)</f>
        <v>2</v>
      </c>
      <c r="AB62" s="31"/>
      <c r="AC62" s="29"/>
      <c r="AD62" s="23"/>
      <c r="AE62" s="30"/>
      <c r="AF62" s="25">
        <f>IF(AO52="","",AO52)</f>
      </c>
      <c r="AG62" s="26" t="s">
        <v>3</v>
      </c>
      <c r="AH62" s="27">
        <f>IF(AM52="","",AM52)</f>
      </c>
      <c r="AI62" s="31"/>
      <c r="AJ62" s="29"/>
      <c r="AK62" s="23"/>
      <c r="AL62" s="26"/>
      <c r="AM62" s="26"/>
      <c r="AN62" s="26"/>
      <c r="AO62" s="26"/>
      <c r="AP62" s="26"/>
      <c r="AQ62" s="29"/>
      <c r="AR62" s="509"/>
      <c r="AS62" s="505"/>
      <c r="AT62" s="505"/>
      <c r="AU62" s="489"/>
      <c r="AV62" s="498"/>
      <c r="AW62" s="62"/>
      <c r="AX62" s="555"/>
    </row>
    <row r="63" spans="1:50" ht="11.25" customHeight="1">
      <c r="A63" s="542"/>
      <c r="B63" s="66"/>
      <c r="C63" s="512" t="str">
        <f>IF(B64="","",AL13)</f>
        <v>⑨</v>
      </c>
      <c r="D63" s="512"/>
      <c r="E63" s="513">
        <f>IF(B64="","",AN13)</f>
        <v>41860</v>
      </c>
      <c r="F63" s="513"/>
      <c r="G63" s="513"/>
      <c r="H63" s="514"/>
      <c r="I63" s="117"/>
      <c r="J63" s="512" t="str">
        <f>IF(I64="","",AL23)</f>
        <v>⑧</v>
      </c>
      <c r="K63" s="512"/>
      <c r="L63" s="513">
        <f>IF(I64="","",AN23)</f>
        <v>41847</v>
      </c>
      <c r="M63" s="513"/>
      <c r="N63" s="513"/>
      <c r="O63" s="514"/>
      <c r="P63" s="117"/>
      <c r="Q63" s="512" t="str">
        <f>IF(P64="","",AL33)</f>
        <v>⑬</v>
      </c>
      <c r="R63" s="512"/>
      <c r="S63" s="513">
        <f>IF(P64="","",AN33)</f>
        <v>41930</v>
      </c>
      <c r="T63" s="513"/>
      <c r="U63" s="513"/>
      <c r="V63" s="514"/>
      <c r="W63" s="117"/>
      <c r="X63" s="512" t="str">
        <f>IF(W64="","",AL43)</f>
        <v>⑩</v>
      </c>
      <c r="Y63" s="512"/>
      <c r="Z63" s="513">
        <f>IF(W64="","",AN43)</f>
        <v>41888</v>
      </c>
      <c r="AA63" s="513"/>
      <c r="AB63" s="513"/>
      <c r="AC63" s="514"/>
      <c r="AD63" s="117"/>
      <c r="AE63" s="512" t="str">
        <f>IF(AD64="","",AL53)</f>
        <v>⑬</v>
      </c>
      <c r="AF63" s="512"/>
      <c r="AG63" s="513">
        <f>IF(AD64="","",AN53)</f>
        <v>41938</v>
      </c>
      <c r="AH63" s="513"/>
      <c r="AI63" s="513"/>
      <c r="AJ63" s="514"/>
      <c r="AK63" s="23"/>
      <c r="AL63" s="26"/>
      <c r="AM63" s="26"/>
      <c r="AN63" s="26"/>
      <c r="AO63" s="26"/>
      <c r="AP63" s="26"/>
      <c r="AQ63" s="29"/>
      <c r="AR63" s="509"/>
      <c r="AS63" s="505"/>
      <c r="AT63" s="505"/>
      <c r="AU63" s="489"/>
      <c r="AV63" s="498"/>
      <c r="AW63" s="62"/>
      <c r="AX63" s="555"/>
    </row>
    <row r="64" spans="1:50" ht="11.25" customHeight="1" thickBot="1">
      <c r="A64" s="543"/>
      <c r="B64" s="501" t="str">
        <f>IF(AK14="","",AK14)</f>
        <v>松任中Ｇ</v>
      </c>
      <c r="C64" s="502"/>
      <c r="D64" s="502"/>
      <c r="E64" s="502"/>
      <c r="F64" s="502"/>
      <c r="G64" s="502"/>
      <c r="H64" s="503"/>
      <c r="I64" s="501" t="str">
        <f>IF(AK24="","",AK24)</f>
        <v>松任中Ｇ</v>
      </c>
      <c r="J64" s="502"/>
      <c r="K64" s="502"/>
      <c r="L64" s="502"/>
      <c r="M64" s="502"/>
      <c r="N64" s="502"/>
      <c r="O64" s="503"/>
      <c r="P64" s="501" t="str">
        <f>IF(AK34="","",AK34)</f>
        <v>松任中Ｇ</v>
      </c>
      <c r="Q64" s="502"/>
      <c r="R64" s="502"/>
      <c r="S64" s="502"/>
      <c r="T64" s="502"/>
      <c r="U64" s="502"/>
      <c r="V64" s="503"/>
      <c r="W64" s="501" t="str">
        <f>IF(AK44="","",AK44)</f>
        <v>北星中Ｇ</v>
      </c>
      <c r="X64" s="502"/>
      <c r="Y64" s="502"/>
      <c r="Z64" s="502"/>
      <c r="AA64" s="502"/>
      <c r="AB64" s="502"/>
      <c r="AC64" s="503"/>
      <c r="AD64" s="501" t="str">
        <f>IF(AK54="","",AK54)</f>
        <v>松任公園Ｇ</v>
      </c>
      <c r="AE64" s="502"/>
      <c r="AF64" s="502"/>
      <c r="AG64" s="502"/>
      <c r="AH64" s="502"/>
      <c r="AI64" s="502"/>
      <c r="AJ64" s="503"/>
      <c r="AK64" s="118"/>
      <c r="AL64" s="119"/>
      <c r="AM64" s="119"/>
      <c r="AN64" s="119"/>
      <c r="AO64" s="119"/>
      <c r="AP64" s="119"/>
      <c r="AQ64" s="342"/>
      <c r="AR64" s="511"/>
      <c r="AS64" s="525"/>
      <c r="AT64" s="525"/>
      <c r="AU64" s="490"/>
      <c r="AV64" s="538"/>
      <c r="AW64" s="62"/>
      <c r="AX64" s="555"/>
    </row>
    <row r="65" spans="1:48" ht="11.25" customHeight="1">
      <c r="A65" s="67"/>
      <c r="B65" s="533"/>
      <c r="C65" s="533"/>
      <c r="D65" s="533"/>
      <c r="E65" s="68"/>
      <c r="F65" s="533"/>
      <c r="G65" s="533"/>
      <c r="H65" s="533"/>
      <c r="I65" s="559"/>
      <c r="J65" s="559"/>
      <c r="K65" s="559"/>
      <c r="L65" s="121"/>
      <c r="M65" s="559"/>
      <c r="N65" s="559"/>
      <c r="O65" s="559"/>
      <c r="P65" s="559"/>
      <c r="Q65" s="559"/>
      <c r="R65" s="559"/>
      <c r="S65" s="121"/>
      <c r="T65" s="559"/>
      <c r="U65" s="559"/>
      <c r="V65" s="559"/>
      <c r="W65" s="559"/>
      <c r="X65" s="559"/>
      <c r="Y65" s="559"/>
      <c r="Z65" s="121"/>
      <c r="AA65" s="559"/>
      <c r="AB65" s="559"/>
      <c r="AC65" s="559"/>
      <c r="AD65" s="559"/>
      <c r="AE65" s="559"/>
      <c r="AF65" s="559"/>
      <c r="AG65" s="121"/>
      <c r="AH65" s="559"/>
      <c r="AI65" s="559"/>
      <c r="AJ65" s="559"/>
      <c r="AK65" s="559"/>
      <c r="AL65" s="559"/>
      <c r="AM65" s="559"/>
      <c r="AN65" s="121"/>
      <c r="AO65" s="559"/>
      <c r="AP65" s="559"/>
      <c r="AQ65" s="559"/>
      <c r="AR65" s="67"/>
      <c r="AS65" s="67">
        <f>SUM(AS5:AS64)</f>
        <v>125</v>
      </c>
      <c r="AT65" s="67">
        <f>SUM(AT5:AT64)</f>
        <v>125</v>
      </c>
      <c r="AU65" s="67">
        <f>SUM(AU5:AU64)</f>
        <v>0</v>
      </c>
      <c r="AV65" s="67"/>
    </row>
    <row r="66" spans="1:43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13.5">
      <c r="B67" s="552">
        <f>INDEX('結果'!$C$6:$AZ$68,62,MATCH(B4,'結果'!$C$5:$AX$5,0))</f>
        <v>22</v>
      </c>
      <c r="C67" s="552"/>
      <c r="D67" s="552"/>
      <c r="E67" s="552"/>
      <c r="F67" s="552"/>
      <c r="G67" s="552"/>
      <c r="H67" s="552"/>
      <c r="I67" s="552">
        <f>INDEX('結果'!$C$6:$AZ$68,62,MATCH(I4,'結果'!$C$5:$AX$5,0))</f>
        <v>36</v>
      </c>
      <c r="J67" s="552"/>
      <c r="K67" s="552"/>
      <c r="L67" s="552"/>
      <c r="M67" s="552"/>
      <c r="N67" s="552"/>
      <c r="O67" s="552"/>
      <c r="P67" s="552">
        <f>INDEX('結果'!$C$6:$AZ$68,62,MATCH(P4,'結果'!$C$5:$AX$5,0))</f>
        <v>8</v>
      </c>
      <c r="Q67" s="552"/>
      <c r="R67" s="552"/>
      <c r="S67" s="552"/>
      <c r="T67" s="552"/>
      <c r="U67" s="552"/>
      <c r="V67" s="552"/>
      <c r="W67" s="552">
        <f>INDEX('結果'!$C$6:$AZ$68,62,MATCH(W4,'結果'!$C$5:$AX$5,0))</f>
        <v>29</v>
      </c>
      <c r="X67" s="552"/>
      <c r="Y67" s="552"/>
      <c r="Z67" s="552"/>
      <c r="AA67" s="552"/>
      <c r="AB67" s="552"/>
      <c r="AC67" s="552"/>
      <c r="AD67" s="552">
        <f>INDEX('結果'!$C$6:$AZ$68,62,MATCH(AD4,'結果'!$C$5:$AX$5,0))</f>
        <v>15</v>
      </c>
      <c r="AE67" s="552"/>
      <c r="AF67" s="552"/>
      <c r="AG67" s="552"/>
      <c r="AH67" s="552"/>
      <c r="AI67" s="552"/>
      <c r="AJ67" s="552"/>
      <c r="AK67" s="552">
        <f>INDEX('結果'!$C$6:$AZ$68,62,MATCH(AK4,'結果'!$C$5:$AX$5,0))</f>
        <v>1</v>
      </c>
      <c r="AL67" s="552"/>
      <c r="AM67" s="552"/>
      <c r="AN67" s="552"/>
      <c r="AO67" s="552"/>
      <c r="AP67" s="552"/>
      <c r="AQ67" s="552"/>
    </row>
    <row r="68" spans="9:15" ht="13.5">
      <c r="I68" s="9"/>
      <c r="O68" s="9"/>
    </row>
    <row r="69" spans="9:15" ht="13.5">
      <c r="I69" s="9"/>
      <c r="O69" s="9"/>
    </row>
    <row r="70" spans="9:15" ht="13.5">
      <c r="I70" s="9"/>
      <c r="O70" s="9"/>
    </row>
    <row r="71" spans="9:15" ht="13.5">
      <c r="I71" s="9"/>
      <c r="O71" s="9"/>
    </row>
    <row r="72" spans="9:15" ht="13.5">
      <c r="I72" s="9"/>
      <c r="O72" s="9"/>
    </row>
    <row r="73" spans="9:15" ht="13.5">
      <c r="I73" s="9"/>
      <c r="O73" s="9"/>
    </row>
    <row r="74" spans="9:15" ht="13.5">
      <c r="I74" s="9"/>
      <c r="O74" s="9"/>
    </row>
    <row r="75" spans="9:15" ht="13.5">
      <c r="I75" s="9"/>
      <c r="O75" s="9"/>
    </row>
    <row r="76" spans="9:15" ht="13.5">
      <c r="I76" s="9"/>
      <c r="O76" s="9"/>
    </row>
    <row r="77" spans="9:15" ht="13.5">
      <c r="I77" s="9"/>
      <c r="O77" s="9"/>
    </row>
    <row r="78" spans="9:15" ht="13.5">
      <c r="I78" s="9"/>
      <c r="O78" s="9"/>
    </row>
    <row r="79" spans="9:15" ht="13.5">
      <c r="I79" s="9"/>
      <c r="O79" s="9"/>
    </row>
    <row r="80" spans="9:15" ht="13.5">
      <c r="I80" s="9"/>
      <c r="O80" s="9"/>
    </row>
    <row r="81" spans="9:15" ht="13.5">
      <c r="I81" s="9"/>
      <c r="O81" s="9"/>
    </row>
  </sheetData>
  <sheetProtection/>
  <mergeCells count="368">
    <mergeCell ref="W67:AC67"/>
    <mergeCell ref="AK67:AQ67"/>
    <mergeCell ref="X53:Y53"/>
    <mergeCell ref="W50:Y50"/>
    <mergeCell ref="AS3:AV3"/>
    <mergeCell ref="B67:H67"/>
    <mergeCell ref="I67:O67"/>
    <mergeCell ref="P67:V67"/>
    <mergeCell ref="J8:K8"/>
    <mergeCell ref="F25:H25"/>
    <mergeCell ref="S58:V58"/>
    <mergeCell ref="W59:AC59"/>
    <mergeCell ref="I59:O59"/>
    <mergeCell ref="E58:H58"/>
    <mergeCell ref="L58:O58"/>
    <mergeCell ref="B55:D55"/>
    <mergeCell ref="T55:V55"/>
    <mergeCell ref="M55:O55"/>
    <mergeCell ref="A3:AR3"/>
    <mergeCell ref="I5:K5"/>
    <mergeCell ref="M5:O5"/>
    <mergeCell ref="P5:R5"/>
    <mergeCell ref="AO5:AQ5"/>
    <mergeCell ref="AD67:AJ67"/>
    <mergeCell ref="AR55:AR64"/>
    <mergeCell ref="AK10:AM10"/>
    <mergeCell ref="AN13:AQ13"/>
    <mergeCell ref="AO10:AQ10"/>
    <mergeCell ref="W4:AC4"/>
    <mergeCell ref="T5:V5"/>
    <mergeCell ref="AD4:AJ4"/>
    <mergeCell ref="AK4:AQ4"/>
    <mergeCell ref="AN23:AQ23"/>
    <mergeCell ref="T15:V15"/>
    <mergeCell ref="P19:V19"/>
    <mergeCell ref="S18:V18"/>
    <mergeCell ref="AG23:AJ23"/>
    <mergeCell ref="Z18:AC18"/>
    <mergeCell ref="B4:H4"/>
    <mergeCell ref="I4:O4"/>
    <mergeCell ref="P4:V4"/>
    <mergeCell ref="B19:H19"/>
    <mergeCell ref="S8:V8"/>
    <mergeCell ref="P9:V9"/>
    <mergeCell ref="Q18:R18"/>
    <mergeCell ref="P15:R15"/>
    <mergeCell ref="T10:V10"/>
    <mergeCell ref="L8:O8"/>
    <mergeCell ref="A35:A44"/>
    <mergeCell ref="C38:D38"/>
    <mergeCell ref="B40:D40"/>
    <mergeCell ref="F35:H35"/>
    <mergeCell ref="F40:H40"/>
    <mergeCell ref="C43:D43"/>
    <mergeCell ref="B35:D35"/>
    <mergeCell ref="E43:H43"/>
    <mergeCell ref="A15:A24"/>
    <mergeCell ref="C18:D18"/>
    <mergeCell ref="B25:D25"/>
    <mergeCell ref="B20:D20"/>
    <mergeCell ref="B24:H24"/>
    <mergeCell ref="B15:D15"/>
    <mergeCell ref="E23:H23"/>
    <mergeCell ref="A25:A34"/>
    <mergeCell ref="C28:D28"/>
    <mergeCell ref="B29:H29"/>
    <mergeCell ref="AS5:AS14"/>
    <mergeCell ref="P55:R55"/>
    <mergeCell ref="E63:H63"/>
    <mergeCell ref="B60:D60"/>
    <mergeCell ref="F60:H60"/>
    <mergeCell ref="I60:K60"/>
    <mergeCell ref="J63:K63"/>
    <mergeCell ref="L63:O63"/>
    <mergeCell ref="E28:H28"/>
    <mergeCell ref="B45:D45"/>
    <mergeCell ref="AN18:AQ18"/>
    <mergeCell ref="AX5:AX14"/>
    <mergeCell ref="AX15:AX24"/>
    <mergeCell ref="AV15:AV24"/>
    <mergeCell ref="AV25:AV34"/>
    <mergeCell ref="AS15:AS24"/>
    <mergeCell ref="AT15:AT24"/>
    <mergeCell ref="AU25:AU34"/>
    <mergeCell ref="AU5:AU14"/>
    <mergeCell ref="AV5:AV14"/>
    <mergeCell ref="AE28:AF28"/>
    <mergeCell ref="AH25:AJ25"/>
    <mergeCell ref="AK20:AM20"/>
    <mergeCell ref="AD20:AF20"/>
    <mergeCell ref="AD25:AF25"/>
    <mergeCell ref="AK19:AQ19"/>
    <mergeCell ref="AD19:AJ19"/>
    <mergeCell ref="AD24:AJ24"/>
    <mergeCell ref="AS45:AS54"/>
    <mergeCell ref="AT45:AT54"/>
    <mergeCell ref="AN53:AQ53"/>
    <mergeCell ref="AK24:AQ24"/>
    <mergeCell ref="AL28:AM28"/>
    <mergeCell ref="AL43:AM43"/>
    <mergeCell ref="AO50:AQ50"/>
    <mergeCell ref="AL48:AM48"/>
    <mergeCell ref="AO45:AQ45"/>
    <mergeCell ref="AN48:AQ48"/>
    <mergeCell ref="AT55:AT64"/>
    <mergeCell ref="AU15:AU24"/>
    <mergeCell ref="M25:O25"/>
    <mergeCell ref="W25:Y25"/>
    <mergeCell ref="AD15:AF15"/>
    <mergeCell ref="AH15:AJ15"/>
    <mergeCell ref="X18:Y18"/>
    <mergeCell ref="AE18:AF18"/>
    <mergeCell ref="AE23:AF23"/>
    <mergeCell ref="AK35:AM35"/>
    <mergeCell ref="AV35:AV44"/>
    <mergeCell ref="AV45:AV54"/>
    <mergeCell ref="AU55:AU64"/>
    <mergeCell ref="AV55:AV64"/>
    <mergeCell ref="AU45:AU54"/>
    <mergeCell ref="I64:O64"/>
    <mergeCell ref="Z48:AC48"/>
    <mergeCell ref="Z53:AC53"/>
    <mergeCell ref="AA50:AC50"/>
    <mergeCell ref="AS55:AS64"/>
    <mergeCell ref="I39:O39"/>
    <mergeCell ref="E48:H48"/>
    <mergeCell ref="J58:K58"/>
    <mergeCell ref="M60:O60"/>
    <mergeCell ref="B44:H44"/>
    <mergeCell ref="C63:D63"/>
    <mergeCell ref="F55:H55"/>
    <mergeCell ref="I55:K55"/>
    <mergeCell ref="E53:H53"/>
    <mergeCell ref="J43:K43"/>
    <mergeCell ref="F20:H20"/>
    <mergeCell ref="B39:H39"/>
    <mergeCell ref="E38:H38"/>
    <mergeCell ref="T35:V35"/>
    <mergeCell ref="P35:R35"/>
    <mergeCell ref="M35:O35"/>
    <mergeCell ref="L38:O38"/>
    <mergeCell ref="J28:K28"/>
    <mergeCell ref="L28:O28"/>
    <mergeCell ref="C23:D23"/>
    <mergeCell ref="I9:O9"/>
    <mergeCell ref="I10:K10"/>
    <mergeCell ref="M10:O10"/>
    <mergeCell ref="W9:AC9"/>
    <mergeCell ref="F15:H15"/>
    <mergeCell ref="W15:Y15"/>
    <mergeCell ref="Q13:R13"/>
    <mergeCell ref="E18:H18"/>
    <mergeCell ref="AH20:AJ20"/>
    <mergeCell ref="AD14:AJ14"/>
    <mergeCell ref="AG13:AJ13"/>
    <mergeCell ref="AA15:AC15"/>
    <mergeCell ref="W20:Y20"/>
    <mergeCell ref="Z13:AC13"/>
    <mergeCell ref="W19:AC19"/>
    <mergeCell ref="P20:R20"/>
    <mergeCell ref="AA20:AC20"/>
    <mergeCell ref="AL13:AM13"/>
    <mergeCell ref="AL18:AM18"/>
    <mergeCell ref="S23:V23"/>
    <mergeCell ref="X23:Y23"/>
    <mergeCell ref="Z23:AC23"/>
    <mergeCell ref="T20:V20"/>
    <mergeCell ref="AK15:AM15"/>
    <mergeCell ref="AK14:AQ14"/>
    <mergeCell ref="W14:AC14"/>
    <mergeCell ref="AG18:AJ18"/>
    <mergeCell ref="AO20:AQ20"/>
    <mergeCell ref="AL23:AM23"/>
    <mergeCell ref="P24:V24"/>
    <mergeCell ref="AA25:AC25"/>
    <mergeCell ref="AR45:AR54"/>
    <mergeCell ref="AN43:AQ43"/>
    <mergeCell ref="AK40:AM40"/>
    <mergeCell ref="AO40:AQ40"/>
    <mergeCell ref="AK39:AQ39"/>
    <mergeCell ref="AK49:AQ49"/>
    <mergeCell ref="AK45:AM45"/>
    <mergeCell ref="P39:V39"/>
    <mergeCell ref="AD55:AF55"/>
    <mergeCell ref="AG58:AJ58"/>
    <mergeCell ref="AO30:AQ30"/>
    <mergeCell ref="W24:AC24"/>
    <mergeCell ref="AG28:AJ28"/>
    <mergeCell ref="AD39:AJ39"/>
    <mergeCell ref="AK34:AQ34"/>
    <mergeCell ref="AH55:AJ55"/>
    <mergeCell ref="W55:Y55"/>
    <mergeCell ref="AK29:AQ29"/>
    <mergeCell ref="P60:R60"/>
    <mergeCell ref="T65:V65"/>
    <mergeCell ref="W65:Y65"/>
    <mergeCell ref="AA65:AC65"/>
    <mergeCell ref="X63:Y63"/>
    <mergeCell ref="S63:V63"/>
    <mergeCell ref="P64:V64"/>
    <mergeCell ref="AO35:AQ35"/>
    <mergeCell ref="AT5:AT14"/>
    <mergeCell ref="AR35:AR44"/>
    <mergeCell ref="AS35:AS44"/>
    <mergeCell ref="AD65:AF65"/>
    <mergeCell ref="AH65:AJ65"/>
    <mergeCell ref="AU35:AU44"/>
    <mergeCell ref="AT35:AT44"/>
    <mergeCell ref="AR15:AR24"/>
    <mergeCell ref="AH5:AJ5"/>
    <mergeCell ref="AD9:AJ9"/>
    <mergeCell ref="B65:D65"/>
    <mergeCell ref="F65:H65"/>
    <mergeCell ref="Q63:R63"/>
    <mergeCell ref="I65:K65"/>
    <mergeCell ref="M65:O65"/>
    <mergeCell ref="AK50:AM50"/>
    <mergeCell ref="J53:K53"/>
    <mergeCell ref="L53:O53"/>
    <mergeCell ref="P50:R50"/>
    <mergeCell ref="I54:O54"/>
    <mergeCell ref="AD40:AF40"/>
    <mergeCell ref="AD30:AF30"/>
    <mergeCell ref="W34:AC34"/>
    <mergeCell ref="AN38:AQ38"/>
    <mergeCell ref="AE33:AF33"/>
    <mergeCell ref="AG33:AJ33"/>
    <mergeCell ref="AO65:AQ65"/>
    <mergeCell ref="AK65:AM65"/>
    <mergeCell ref="AL53:AM53"/>
    <mergeCell ref="AL38:AM38"/>
    <mergeCell ref="AK44:AQ44"/>
    <mergeCell ref="P65:R65"/>
    <mergeCell ref="W64:AC64"/>
    <mergeCell ref="T60:V60"/>
    <mergeCell ref="W60:Y60"/>
    <mergeCell ref="W49:AC49"/>
    <mergeCell ref="A5:A14"/>
    <mergeCell ref="W5:Y5"/>
    <mergeCell ref="AA5:AC5"/>
    <mergeCell ref="AD5:AF5"/>
    <mergeCell ref="P10:R10"/>
    <mergeCell ref="J13:K13"/>
    <mergeCell ref="L13:O13"/>
    <mergeCell ref="I14:O14"/>
    <mergeCell ref="S13:V13"/>
    <mergeCell ref="X13:Y13"/>
    <mergeCell ref="AG8:AJ8"/>
    <mergeCell ref="AH10:AJ10"/>
    <mergeCell ref="AK9:AQ9"/>
    <mergeCell ref="AO15:AQ15"/>
    <mergeCell ref="Z8:AC8"/>
    <mergeCell ref="AR5:AR14"/>
    <mergeCell ref="AK5:AM5"/>
    <mergeCell ref="AL8:AM8"/>
    <mergeCell ref="AN8:AQ8"/>
    <mergeCell ref="AE13:AF13"/>
    <mergeCell ref="AD10:AF10"/>
    <mergeCell ref="AE8:AF8"/>
    <mergeCell ref="AA10:AC10"/>
    <mergeCell ref="Q23:R23"/>
    <mergeCell ref="I25:K25"/>
    <mergeCell ref="Z33:AC33"/>
    <mergeCell ref="I29:O29"/>
    <mergeCell ref="Q8:R8"/>
    <mergeCell ref="W10:Y10"/>
    <mergeCell ref="P14:V14"/>
    <mergeCell ref="X8:Y8"/>
    <mergeCell ref="E33:H33"/>
    <mergeCell ref="X33:Y33"/>
    <mergeCell ref="Z28:AC28"/>
    <mergeCell ref="AA30:AC30"/>
    <mergeCell ref="AK30:AM30"/>
    <mergeCell ref="W29:AC29"/>
    <mergeCell ref="AD29:AJ29"/>
    <mergeCell ref="AH30:AJ30"/>
    <mergeCell ref="W30:Y30"/>
    <mergeCell ref="AD34:AJ34"/>
    <mergeCell ref="B34:H34"/>
    <mergeCell ref="B30:D30"/>
    <mergeCell ref="I34:O34"/>
    <mergeCell ref="F30:H30"/>
    <mergeCell ref="J33:K33"/>
    <mergeCell ref="L33:O33"/>
    <mergeCell ref="I30:K30"/>
    <mergeCell ref="M30:O30"/>
    <mergeCell ref="C33:D33"/>
    <mergeCell ref="AT25:AT34"/>
    <mergeCell ref="AR25:AR34"/>
    <mergeCell ref="AS25:AS34"/>
    <mergeCell ref="AO25:AQ25"/>
    <mergeCell ref="AN33:AQ33"/>
    <mergeCell ref="AL33:AM33"/>
    <mergeCell ref="AN28:AQ28"/>
    <mergeCell ref="AK25:AM25"/>
    <mergeCell ref="X28:Y28"/>
    <mergeCell ref="J38:K38"/>
    <mergeCell ref="Q38:R38"/>
    <mergeCell ref="AE38:AF38"/>
    <mergeCell ref="AD35:AF35"/>
    <mergeCell ref="AG38:AJ38"/>
    <mergeCell ref="S38:V38"/>
    <mergeCell ref="I35:K35"/>
    <mergeCell ref="AH35:AJ35"/>
    <mergeCell ref="AE43:AF43"/>
    <mergeCell ref="AG43:AJ43"/>
    <mergeCell ref="I40:K40"/>
    <mergeCell ref="M40:O40"/>
    <mergeCell ref="P40:R40"/>
    <mergeCell ref="T40:V40"/>
    <mergeCell ref="Q43:R43"/>
    <mergeCell ref="S43:V43"/>
    <mergeCell ref="L43:O43"/>
    <mergeCell ref="AH40:AJ40"/>
    <mergeCell ref="M45:O45"/>
    <mergeCell ref="L48:O48"/>
    <mergeCell ref="W45:Y45"/>
    <mergeCell ref="P44:V44"/>
    <mergeCell ref="J48:K48"/>
    <mergeCell ref="Q48:R48"/>
    <mergeCell ref="I45:K45"/>
    <mergeCell ref="P45:R45"/>
    <mergeCell ref="I44:O44"/>
    <mergeCell ref="AA45:AC45"/>
    <mergeCell ref="X48:Y48"/>
    <mergeCell ref="F50:H50"/>
    <mergeCell ref="I50:K50"/>
    <mergeCell ref="M50:O50"/>
    <mergeCell ref="I49:O49"/>
    <mergeCell ref="T45:V45"/>
    <mergeCell ref="P49:V49"/>
    <mergeCell ref="S48:V48"/>
    <mergeCell ref="T50:V50"/>
    <mergeCell ref="P54:V54"/>
    <mergeCell ref="W54:AC54"/>
    <mergeCell ref="Q53:R53"/>
    <mergeCell ref="S53:V53"/>
    <mergeCell ref="C53:D53"/>
    <mergeCell ref="B59:H59"/>
    <mergeCell ref="Z58:AC58"/>
    <mergeCell ref="AA55:AC55"/>
    <mergeCell ref="P59:V59"/>
    <mergeCell ref="Q58:R58"/>
    <mergeCell ref="A45:A54"/>
    <mergeCell ref="C48:D48"/>
    <mergeCell ref="F45:H45"/>
    <mergeCell ref="B54:H54"/>
    <mergeCell ref="C58:D58"/>
    <mergeCell ref="A55:A64"/>
    <mergeCell ref="B50:D50"/>
    <mergeCell ref="B64:H64"/>
    <mergeCell ref="B49:H49"/>
    <mergeCell ref="AA60:AC60"/>
    <mergeCell ref="X58:Y58"/>
    <mergeCell ref="Z63:AC63"/>
    <mergeCell ref="AE63:AF63"/>
    <mergeCell ref="AG63:AJ63"/>
    <mergeCell ref="AD60:AF60"/>
    <mergeCell ref="AD64:AJ64"/>
    <mergeCell ref="AX25:AX34"/>
    <mergeCell ref="AX35:AX44"/>
    <mergeCell ref="AX45:AX54"/>
    <mergeCell ref="AX55:AX64"/>
    <mergeCell ref="AD59:AJ59"/>
    <mergeCell ref="AK54:AQ54"/>
    <mergeCell ref="AH60:AJ60"/>
    <mergeCell ref="AE58:AF58"/>
    <mergeCell ref="AD44:AJ44"/>
  </mergeCells>
  <printOptions horizontalCentered="1"/>
  <pageMargins left="0.3937007874015748" right="0" top="0" bottom="0" header="0.5118110236220472" footer="0.5118110236220472"/>
  <pageSetup horizontalDpi="300" verticalDpi="300" orientation="portrait" paperSize="9" scale="11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Z16"/>
  <sheetViews>
    <sheetView tabSelected="1" view="pageBreakPreview" zoomScale="80" zoomScaleNormal="120" zoomScaleSheetLayoutView="80" zoomScalePageLayoutView="0" workbookViewId="0" topLeftCell="A1">
      <pane xSplit="1" ySplit="2" topLeftCell="B3" activePane="bottomRight" state="frozen"/>
      <selection pane="topLeft" activeCell="AR51" sqref="AR51:AX58"/>
      <selection pane="topRight" activeCell="AR51" sqref="AR51:AX58"/>
      <selection pane="bottomLeft" activeCell="AR51" sqref="AR51:AX58"/>
      <selection pane="bottomRight" activeCell="A1" sqref="A1:S1"/>
    </sheetView>
  </sheetViews>
  <sheetFormatPr defaultColWidth="9.00390625" defaultRowHeight="13.5"/>
  <cols>
    <col min="1" max="1" width="15.00390625" style="9" customWidth="1"/>
    <col min="2" max="4" width="4.125" style="9" customWidth="1"/>
    <col min="5" max="5" width="4.125" style="10" customWidth="1"/>
    <col min="6" max="19" width="4.125" style="9" customWidth="1"/>
    <col min="20" max="24" width="5.50390625" style="9" customWidth="1"/>
    <col min="25" max="16384" width="9.00390625" style="1" customWidth="1"/>
  </cols>
  <sheetData>
    <row r="1" spans="1:26" ht="26.25" customHeight="1" thickBot="1">
      <c r="A1" s="537" t="str">
        <f>'結果'!B4</f>
        <v>　第４回 石川県ユース(Ｕ－1３)サッカーリーグ 2014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69"/>
      <c r="U1" s="561" t="s">
        <v>16</v>
      </c>
      <c r="V1" s="561"/>
      <c r="W1" s="561"/>
      <c r="X1" s="69"/>
      <c r="Z1" s="341" t="s">
        <v>170</v>
      </c>
    </row>
    <row r="2" spans="1:26" ht="27.75" customHeight="1" thickBot="1">
      <c r="A2" s="35" t="str">
        <f>'結果'!B5</f>
        <v>Ａ</v>
      </c>
      <c r="B2" s="562" t="str">
        <f>A3</f>
        <v>FC.SOUTHERN</v>
      </c>
      <c r="C2" s="563"/>
      <c r="D2" s="564"/>
      <c r="E2" s="565" t="str">
        <f>A5</f>
        <v>ＦＣ．ＴＯＮ</v>
      </c>
      <c r="F2" s="563"/>
      <c r="G2" s="564"/>
      <c r="H2" s="565" t="str">
        <f>A7</f>
        <v>ＦＣ小松</v>
      </c>
      <c r="I2" s="563"/>
      <c r="J2" s="564"/>
      <c r="K2" s="565" t="str">
        <f>A9</f>
        <v>根上中学校</v>
      </c>
      <c r="L2" s="563"/>
      <c r="M2" s="564"/>
      <c r="N2" s="565" t="str">
        <f>A11</f>
        <v>河北台ＳＣ</v>
      </c>
      <c r="O2" s="563"/>
      <c r="P2" s="564"/>
      <c r="Q2" s="565" t="str">
        <f>A13</f>
        <v>松任中学校</v>
      </c>
      <c r="R2" s="563"/>
      <c r="S2" s="564"/>
      <c r="T2" s="37" t="s">
        <v>5</v>
      </c>
      <c r="U2" s="36" t="s">
        <v>0</v>
      </c>
      <c r="V2" s="36" t="s">
        <v>1</v>
      </c>
      <c r="W2" s="38" t="s">
        <v>6</v>
      </c>
      <c r="X2" s="39" t="s">
        <v>2</v>
      </c>
      <c r="Z2" s="79" t="s">
        <v>15</v>
      </c>
    </row>
    <row r="3" spans="1:24" ht="33" customHeight="1" thickTop="1">
      <c r="A3" s="568" t="str">
        <f>ソート!A5</f>
        <v>FC.SOUTHERN</v>
      </c>
      <c r="B3" s="73"/>
      <c r="C3" s="74"/>
      <c r="D3" s="75"/>
      <c r="E3" s="122">
        <f>IF(ソート!I5="","",ソート!I5)</f>
        <v>0</v>
      </c>
      <c r="F3" s="71" t="str">
        <f>IF(E3="","",ソート!L5)</f>
        <v>●</v>
      </c>
      <c r="G3" s="71">
        <f>IF(E3="","",ソート!M5)</f>
        <v>2</v>
      </c>
      <c r="H3" s="122">
        <f>IF(ソート!P5="","",ソート!P5)</f>
        <v>4</v>
      </c>
      <c r="I3" s="71" t="str">
        <f>IF(H3="","",ソート!S5)</f>
        <v>○</v>
      </c>
      <c r="J3" s="71">
        <f>IF(H3="","",ソート!T5)</f>
        <v>2</v>
      </c>
      <c r="K3" s="122">
        <f>IF(ソート!W5="","",ソート!W5)</f>
        <v>9</v>
      </c>
      <c r="L3" s="71" t="str">
        <f>IF(K3="","",ソート!Z5)</f>
        <v>○</v>
      </c>
      <c r="M3" s="71">
        <f>IF(K3="","",ソート!AA5)</f>
        <v>0</v>
      </c>
      <c r="N3" s="122">
        <f>IF(ソート!AD5="","",ソート!AD5)</f>
        <v>12</v>
      </c>
      <c r="O3" s="71" t="str">
        <f>IF(N3="","",ソート!AG5)</f>
        <v>○</v>
      </c>
      <c r="P3" s="71">
        <f>IF(N3="","",ソート!AH5)</f>
        <v>0</v>
      </c>
      <c r="Q3" s="122">
        <f>IF(ソート!AK5="","",ソート!AK5)</f>
        <v>7</v>
      </c>
      <c r="R3" s="71" t="str">
        <f>IF(Q3="","",ソート!AN5)</f>
        <v>○</v>
      </c>
      <c r="S3" s="71">
        <f>IF(Q3="","",ソート!AO5)</f>
        <v>0</v>
      </c>
      <c r="T3" s="572">
        <f>IF(ソート!AR5="","",ソート!AR5)</f>
        <v>18</v>
      </c>
      <c r="U3" s="583">
        <f>IF(T3="","",ソート!AS5)</f>
        <v>41</v>
      </c>
      <c r="V3" s="583">
        <f>IF(U3="","",ソート!AT5)</f>
        <v>4</v>
      </c>
      <c r="W3" s="574">
        <f>IF(V3="","",ソート!AU5)</f>
        <v>37</v>
      </c>
      <c r="X3" s="585">
        <f>IF(ソート!AV5="","",ソート!AV5)</f>
        <v>1</v>
      </c>
    </row>
    <row r="4" spans="1:24" ht="33" customHeight="1">
      <c r="A4" s="569"/>
      <c r="B4" s="83"/>
      <c r="C4" s="71"/>
      <c r="D4" s="94"/>
      <c r="E4" s="123">
        <f>IF(ソート!I10="","",ソート!I10)</f>
      </c>
      <c r="F4" s="124">
        <f>IF(E4="","",ソート!L10)</f>
      </c>
      <c r="G4" s="124">
        <f>IF(E4="","",ソート!M10)</f>
      </c>
      <c r="H4" s="123">
        <f>IF(ソート!P10="","",ソート!P10)</f>
      </c>
      <c r="I4" s="124">
        <f>IF(H4="","",ソート!S10)</f>
      </c>
      <c r="J4" s="124">
        <f>IF(H4="","",ソート!T10)</f>
      </c>
      <c r="K4" s="123">
        <f>IF(ソート!W10="","",ソート!W10)</f>
      </c>
      <c r="L4" s="124">
        <f>IF(K4="","",ソート!Z10)</f>
      </c>
      <c r="M4" s="124">
        <f>IF(K4="","",ソート!AA10)</f>
      </c>
      <c r="N4" s="123">
        <f>IF(ソート!AD10="","",ソート!AD10)</f>
        <v>6</v>
      </c>
      <c r="O4" s="124" t="str">
        <f>IF(N4="","",ソート!AG10)</f>
        <v>○</v>
      </c>
      <c r="P4" s="124">
        <f>IF(N4="","",ソート!AH10)</f>
        <v>0</v>
      </c>
      <c r="Q4" s="123">
        <f>IF(ソート!AK10="","",ソート!AK10)</f>
        <v>3</v>
      </c>
      <c r="R4" s="124" t="str">
        <f>IF(Q4="","",ソート!AN10)</f>
        <v>○</v>
      </c>
      <c r="S4" s="124">
        <f>IF(Q4="","",ソート!AO10)</f>
        <v>0</v>
      </c>
      <c r="T4" s="573"/>
      <c r="U4" s="580"/>
      <c r="V4" s="580"/>
      <c r="W4" s="575"/>
      <c r="X4" s="584"/>
    </row>
    <row r="5" spans="1:24" ht="33" customHeight="1">
      <c r="A5" s="566" t="str">
        <f>ソート!A15</f>
        <v>ＦＣ．ＴＯＮ</v>
      </c>
      <c r="B5" s="125">
        <f>IF(ソート!B15="","",ソート!B15)</f>
        <v>2</v>
      </c>
      <c r="C5" s="126" t="str">
        <f>IF(B5="","",ソート!E15)</f>
        <v>○</v>
      </c>
      <c r="D5" s="126">
        <f>IF(B5="","",ソート!F15)</f>
        <v>0</v>
      </c>
      <c r="E5" s="76"/>
      <c r="F5" s="77"/>
      <c r="G5" s="78"/>
      <c r="H5" s="127">
        <f>IF(ソート!P15="","",ソート!P15)</f>
        <v>0</v>
      </c>
      <c r="I5" s="126" t="str">
        <f>IF(H5="","",ソート!S15)</f>
        <v>●</v>
      </c>
      <c r="J5" s="126">
        <f>IF(H5="","",ソート!T15)</f>
        <v>5</v>
      </c>
      <c r="K5" s="127">
        <f>IF(ソート!W15="","",ソート!W15)</f>
        <v>4</v>
      </c>
      <c r="L5" s="126" t="str">
        <f>IF(K5="","",ソート!Z15)</f>
        <v>○</v>
      </c>
      <c r="M5" s="126">
        <f>IF(K5="","",ソート!AA15)</f>
        <v>0</v>
      </c>
      <c r="N5" s="127">
        <f>IF(ソート!AD15="","",ソート!AD15)</f>
        <v>7</v>
      </c>
      <c r="O5" s="126" t="str">
        <f>IF(N5="","",ソート!AG15)</f>
        <v>○</v>
      </c>
      <c r="P5" s="126">
        <f>IF(N5="","",ソート!AH15)</f>
        <v>1</v>
      </c>
      <c r="Q5" s="127">
        <f>IF(ソート!AK15="","",ソート!AK15)</f>
        <v>5</v>
      </c>
      <c r="R5" s="126" t="str">
        <f>IF(Q5="","",ソート!AN15)</f>
        <v>○</v>
      </c>
      <c r="S5" s="126">
        <f>IF(Q5="","",ソート!AO15)</f>
        <v>0</v>
      </c>
      <c r="T5" s="570">
        <f>IF(ソート!AR15="","",ソート!AR15)</f>
        <v>18</v>
      </c>
      <c r="U5" s="576">
        <f>IF(ソート!AS15="","",ソート!AS15)</f>
        <v>24</v>
      </c>
      <c r="V5" s="576">
        <f>IF(ソート!AT15="","",ソート!AT15)</f>
        <v>6</v>
      </c>
      <c r="W5" s="578">
        <f>IF(ソート!AU15="","",ソート!AU15)</f>
        <v>18</v>
      </c>
      <c r="X5" s="581">
        <f>IF(ソート!AV15="","",ソート!AV15)</f>
        <v>2</v>
      </c>
    </row>
    <row r="6" spans="1:24" ht="33" customHeight="1">
      <c r="A6" s="567"/>
      <c r="B6" s="128">
        <f>IF(ソート!B20="","",ソート!B20)</f>
      </c>
      <c r="C6" s="124">
        <f>IF(B6="","",ソート!E20)</f>
      </c>
      <c r="D6" s="124">
        <f>IF(B6="","",ソート!F20)</f>
      </c>
      <c r="E6" s="33"/>
      <c r="F6" s="72"/>
      <c r="G6" s="34"/>
      <c r="H6" s="123">
        <f>IF(ソート!P20="","",ソート!P20)</f>
      </c>
      <c r="I6" s="124">
        <f>IF(H6="","",ソート!S20)</f>
      </c>
      <c r="J6" s="124">
        <f>IF(H6="","",ソート!T20)</f>
      </c>
      <c r="K6" s="123">
        <f>IF(ソート!W20="","",ソート!W20)</f>
        <v>3</v>
      </c>
      <c r="L6" s="124" t="str">
        <f>IF(K6="","",ソート!Z20)</f>
        <v>○</v>
      </c>
      <c r="M6" s="124">
        <f>IF(K6="","",ソート!AA20)</f>
        <v>0</v>
      </c>
      <c r="N6" s="123">
        <f>IF(ソート!AD20="","",ソート!AD20)</f>
      </c>
      <c r="O6" s="124">
        <f>IF(N6="","",ソート!AG20)</f>
      </c>
      <c r="P6" s="124">
        <f>IF(N6="","",ソート!AH20)</f>
      </c>
      <c r="Q6" s="123">
        <f>IF(ソート!AK20="","",ソート!AK20)</f>
        <v>3</v>
      </c>
      <c r="R6" s="124" t="str">
        <f>IF(Q6="","",ソート!AN20)</f>
        <v>○</v>
      </c>
      <c r="S6" s="124">
        <f>IF(Q6="","",ソート!AO20)</f>
        <v>0</v>
      </c>
      <c r="T6" s="571" t="e">
        <f>IF(ソート!#REF!="","",ソート!#REF!)</f>
        <v>#REF!</v>
      </c>
      <c r="U6" s="577" t="e">
        <f>IF(ソート!#REF!="","",ソート!#REF!)</f>
        <v>#REF!</v>
      </c>
      <c r="V6" s="577" t="e">
        <f>IF(ソート!#REF!="","",ソート!#REF!)</f>
        <v>#REF!</v>
      </c>
      <c r="W6" s="579" t="e">
        <f>IF(ソート!#REF!="","",ソート!#REF!)</f>
        <v>#REF!</v>
      </c>
      <c r="X6" s="582" t="e">
        <f>IF(ソート!#REF!="","",ソート!#REF!)</f>
        <v>#REF!</v>
      </c>
    </row>
    <row r="7" spans="1:24" ht="33" customHeight="1">
      <c r="A7" s="566" t="str">
        <f>ソート!A25</f>
        <v>ＦＣ小松</v>
      </c>
      <c r="B7" s="125">
        <f>IF(ソート!B25="","",ソート!B25)</f>
        <v>2</v>
      </c>
      <c r="C7" s="126" t="str">
        <f>IF(B7="","",ソート!E25)</f>
        <v>●</v>
      </c>
      <c r="D7" s="126">
        <f>IF(B7="","",ソート!F25)</f>
        <v>4</v>
      </c>
      <c r="E7" s="127">
        <f>IF(ソート!I25="","",ソート!I25)</f>
        <v>5</v>
      </c>
      <c r="F7" s="126" t="str">
        <f>IF(E7="","",ソート!L25)</f>
        <v>○</v>
      </c>
      <c r="G7" s="126">
        <f>IF(E7="","",ソート!M25)</f>
        <v>0</v>
      </c>
      <c r="H7" s="76"/>
      <c r="I7" s="77"/>
      <c r="J7" s="78"/>
      <c r="K7" s="127">
        <f>IF(ソート!W25="","",ソート!W25)</f>
        <v>10</v>
      </c>
      <c r="L7" s="126" t="str">
        <f>IF(K7="","",ソート!Z25)</f>
        <v>○</v>
      </c>
      <c r="M7" s="126">
        <f>IF(K7="","",ソート!AA25)</f>
        <v>0</v>
      </c>
      <c r="N7" s="127">
        <f>IF(ソート!AD25="","",ソート!AD25)</f>
        <v>10</v>
      </c>
      <c r="O7" s="126" t="str">
        <f>IF(N7="","",ソート!AG25)</f>
        <v>○</v>
      </c>
      <c r="P7" s="126">
        <f>IF(N7="","",ソート!AH25)</f>
        <v>0</v>
      </c>
      <c r="Q7" s="127">
        <f>IF(ソート!AK25="","",ソート!AK25)</f>
        <v>11</v>
      </c>
      <c r="R7" s="126" t="str">
        <f>IF(Q7="","",ソート!AN25)</f>
        <v>○</v>
      </c>
      <c r="S7" s="126">
        <f>IF(Q7="","",ソート!AO25)</f>
        <v>0</v>
      </c>
      <c r="T7" s="570">
        <f>IF(ソート!AR25="","",ソート!AR25)</f>
        <v>15</v>
      </c>
      <c r="U7" s="576">
        <f>IF(ソート!AS25="","",ソート!AS25)</f>
        <v>39</v>
      </c>
      <c r="V7" s="576">
        <f>IF(ソート!AT25="","",ソート!AT25)</f>
        <v>4</v>
      </c>
      <c r="W7" s="578">
        <f>IF(ソート!AU25="","",ソート!AU25)</f>
        <v>35</v>
      </c>
      <c r="X7" s="581">
        <f>IF(ソート!AV25="","",ソート!AV25)</f>
        <v>3</v>
      </c>
    </row>
    <row r="8" spans="1:24" ht="33" customHeight="1">
      <c r="A8" s="567"/>
      <c r="B8" s="128">
        <f>IF(ソート!B30="","",ソート!B30)</f>
      </c>
      <c r="C8" s="124">
        <f>IF(B8="","",ソート!E30)</f>
      </c>
      <c r="D8" s="124">
        <f>IF(B8="","",ソート!F30)</f>
      </c>
      <c r="E8" s="123">
        <f>IF(ソート!I30="","",ソート!I30)</f>
      </c>
      <c r="F8" s="124">
        <f>IF(E8="","",ソート!L30)</f>
      </c>
      <c r="G8" s="124">
        <f>IF(E8="","",ソート!M30)</f>
      </c>
      <c r="H8" s="33"/>
      <c r="I8" s="72"/>
      <c r="J8" s="34"/>
      <c r="K8" s="123">
        <f>IF(ソート!W30="","",ソート!W30)</f>
      </c>
      <c r="L8" s="124">
        <f>IF(K8="","",ソート!Z30)</f>
      </c>
      <c r="M8" s="124">
        <f>IF(K8="","",ソート!AA30)</f>
      </c>
      <c r="N8" s="123">
        <f>IF(ソート!AD30="","",ソート!AD30)</f>
        <v>1</v>
      </c>
      <c r="O8" s="124" t="str">
        <f>IF(N8="","",ソート!AG30)</f>
        <v>○</v>
      </c>
      <c r="P8" s="124">
        <f>IF(N8="","",ソート!AH30)</f>
        <v>0</v>
      </c>
      <c r="Q8" s="123">
        <f>IF(ソート!AK30="","",ソート!AK30)</f>
      </c>
      <c r="R8" s="124">
        <f>IF(Q8="","",ソート!AN30)</f>
      </c>
      <c r="S8" s="124">
        <f>IF(Q8="","",ソート!AO30)</f>
      </c>
      <c r="T8" s="571" t="e">
        <f>IF(ソート!#REF!="","",ソート!#REF!)</f>
        <v>#REF!</v>
      </c>
      <c r="U8" s="577" t="e">
        <f>IF(ソート!#REF!="","",ソート!#REF!)</f>
        <v>#REF!</v>
      </c>
      <c r="V8" s="577" t="e">
        <f>IF(ソート!#REF!="","",ソート!#REF!)</f>
        <v>#REF!</v>
      </c>
      <c r="W8" s="579" t="e">
        <f>IF(ソート!#REF!="","",ソート!#REF!)</f>
        <v>#REF!</v>
      </c>
      <c r="X8" s="582" t="e">
        <f>IF(ソート!#REF!="","",ソート!#REF!)</f>
        <v>#REF!</v>
      </c>
    </row>
    <row r="9" spans="1:24" ht="33" customHeight="1">
      <c r="A9" s="566" t="str">
        <f>ソート!A35</f>
        <v>根上中学校</v>
      </c>
      <c r="B9" s="125">
        <f>IF(ソート!B35="","",ソート!B35)</f>
        <v>0</v>
      </c>
      <c r="C9" s="126" t="str">
        <f>IF(B9="","",ソート!E35)</f>
        <v>●</v>
      </c>
      <c r="D9" s="126">
        <f>IF(B9="","",ソート!F35)</f>
        <v>9</v>
      </c>
      <c r="E9" s="127">
        <f>IF(ソート!I35="","",ソート!I35)</f>
        <v>0</v>
      </c>
      <c r="F9" s="126" t="str">
        <f>IF(E9="","",ソート!L35)</f>
        <v>●</v>
      </c>
      <c r="G9" s="126">
        <f>IF(E9="","",ソート!M35)</f>
        <v>4</v>
      </c>
      <c r="H9" s="127">
        <f>IF(ソート!P35="","",ソート!P35)</f>
        <v>0</v>
      </c>
      <c r="I9" s="126" t="str">
        <f>IF(H9="","",ソート!S35)</f>
        <v>●</v>
      </c>
      <c r="J9" s="126">
        <f>IF(H9="","",ソート!T35)</f>
        <v>10</v>
      </c>
      <c r="K9" s="76"/>
      <c r="L9" s="77"/>
      <c r="M9" s="78"/>
      <c r="N9" s="127">
        <f>IF(ソート!AD35="","",ソート!AD35)</f>
        <v>7</v>
      </c>
      <c r="O9" s="126" t="str">
        <f>IF(N9="","",ソート!AG35)</f>
        <v>○</v>
      </c>
      <c r="P9" s="126">
        <f>IF(N9="","",ソート!AH35)</f>
        <v>0</v>
      </c>
      <c r="Q9" s="127">
        <f>IF(ソート!AK35="","",ソート!AK35)</f>
        <v>5</v>
      </c>
      <c r="R9" s="126" t="str">
        <f>IF(Q9="","",ソート!AN35)</f>
        <v>○</v>
      </c>
      <c r="S9" s="126">
        <f>IF(Q9="","",ソート!AO35)</f>
        <v>0</v>
      </c>
      <c r="T9" s="573">
        <f>IF(ソート!AR35="","",ソート!AR35)</f>
        <v>9</v>
      </c>
      <c r="U9" s="580">
        <f>IF(ソート!AS35="","",ソート!AS35)</f>
        <v>15</v>
      </c>
      <c r="V9" s="580">
        <f>IF(ソート!AT35="","",ソート!AT35)</f>
        <v>28</v>
      </c>
      <c r="W9" s="575">
        <f>IF(ソート!AU35="","",ソート!AU35)</f>
        <v>-13</v>
      </c>
      <c r="X9" s="584">
        <f>IF(ソート!AV35="","",ソート!AV35)</f>
        <v>4</v>
      </c>
    </row>
    <row r="10" spans="1:24" ht="33" customHeight="1">
      <c r="A10" s="567" t="e">
        <f>ソート!#REF!</f>
        <v>#REF!</v>
      </c>
      <c r="B10" s="128">
        <f>IF(ソート!B40="","",ソート!B40)</f>
      </c>
      <c r="C10" s="124">
        <f>IF(B10="","",ソート!E40)</f>
      </c>
      <c r="D10" s="124">
        <f>IF(B10="","",ソート!F40)</f>
      </c>
      <c r="E10" s="123">
        <f>IF(ソート!I40="","",ソート!I40)</f>
        <v>0</v>
      </c>
      <c r="F10" s="124" t="str">
        <f>IF(E10="","",ソート!L40)</f>
        <v>●</v>
      </c>
      <c r="G10" s="124">
        <f>IF(E10="","",ソート!M40)</f>
        <v>3</v>
      </c>
      <c r="H10" s="123">
        <f>IF(ソート!P40="","",ソート!P40)</f>
      </c>
      <c r="I10" s="124">
        <f>IF(H10="","",ソート!S40)</f>
      </c>
      <c r="J10" s="124">
        <f>IF(H10="","",ソート!T40)</f>
      </c>
      <c r="K10" s="33"/>
      <c r="L10" s="72"/>
      <c r="M10" s="34"/>
      <c r="N10" s="123">
        <f>IF(ソート!AD40="","",ソート!AD40)</f>
        <v>0</v>
      </c>
      <c r="O10" s="124" t="str">
        <f>IF(N10="","",ソート!AG40)</f>
        <v>●</v>
      </c>
      <c r="P10" s="124">
        <f>IF(N10="","",ソート!AH40)</f>
        <v>2</v>
      </c>
      <c r="Q10" s="123">
        <f>IF(ソート!AK40="","",ソート!AK40)</f>
        <v>3</v>
      </c>
      <c r="R10" s="124" t="str">
        <f>IF(Q10="","",ソート!AN40)</f>
        <v>○</v>
      </c>
      <c r="S10" s="124">
        <f>IF(Q10="","",ソート!AO40)</f>
        <v>0</v>
      </c>
      <c r="T10" s="573"/>
      <c r="U10" s="580" t="e">
        <f>IF(ソート!#REF!="","",ソート!#REF!)</f>
        <v>#REF!</v>
      </c>
      <c r="V10" s="580" t="e">
        <f>IF(ソート!#REF!="","",ソート!#REF!)</f>
        <v>#REF!</v>
      </c>
      <c r="W10" s="575" t="e">
        <f>IF(ソート!#REF!="","",ソート!#REF!)</f>
        <v>#REF!</v>
      </c>
      <c r="X10" s="584"/>
    </row>
    <row r="11" spans="1:24" ht="33" customHeight="1">
      <c r="A11" s="566" t="str">
        <f>ソート!A45</f>
        <v>河北台ＳＣ</v>
      </c>
      <c r="B11" s="125">
        <f>IF(ソート!B45="","",ソート!B45)</f>
        <v>0</v>
      </c>
      <c r="C11" s="126" t="str">
        <f>IF(B11="","",ソート!E45)</f>
        <v>●</v>
      </c>
      <c r="D11" s="126">
        <f>IF(B11="","",ソート!F45)</f>
        <v>12</v>
      </c>
      <c r="E11" s="127">
        <f>IF(ソート!I45="","",ソート!I45)</f>
        <v>1</v>
      </c>
      <c r="F11" s="126" t="str">
        <f>IF(E11="","",ソート!L45)</f>
        <v>●</v>
      </c>
      <c r="G11" s="126">
        <f>IF(E11="","",ソート!M45)</f>
        <v>7</v>
      </c>
      <c r="H11" s="127">
        <f>IF(ソート!P45="","",ソート!P45)</f>
        <v>0</v>
      </c>
      <c r="I11" s="126" t="str">
        <f>IF(H11="","",ソート!S45)</f>
        <v>●</v>
      </c>
      <c r="J11" s="126">
        <f>IF(H11="","",ソート!T45)</f>
        <v>10</v>
      </c>
      <c r="K11" s="127">
        <f>IF(ソート!W45="","",ソート!W45)</f>
        <v>0</v>
      </c>
      <c r="L11" s="126" t="str">
        <f>IF(K11="","",ソート!Z45)</f>
        <v>●</v>
      </c>
      <c r="M11" s="126">
        <f>IF(K11="","",ソート!AA45)</f>
        <v>7</v>
      </c>
      <c r="N11" s="76"/>
      <c r="O11" s="77"/>
      <c r="P11" s="78"/>
      <c r="Q11" s="127">
        <f>IF(ソート!AK45="","",ソート!AK45)</f>
        <v>2</v>
      </c>
      <c r="R11" s="126" t="str">
        <f>IF(Q11="","",ソート!AN45)</f>
        <v>○</v>
      </c>
      <c r="S11" s="126">
        <f>IF(Q11="","",ソート!AO45)</f>
        <v>1</v>
      </c>
      <c r="T11" s="570">
        <f>IF(ソート!AR45="","",ソート!AR45)</f>
        <v>6</v>
      </c>
      <c r="U11" s="576">
        <f>IF(ソート!AS45="","",ソート!AS45)</f>
        <v>5</v>
      </c>
      <c r="V11" s="576">
        <f>IF(ソート!AT45="","",ソート!AT45)</f>
        <v>44</v>
      </c>
      <c r="W11" s="578">
        <f>IF(ソート!AU45="","",ソート!AU45)</f>
        <v>-39</v>
      </c>
      <c r="X11" s="581">
        <f>IF(ソート!AV45="","",ソート!AV45)</f>
        <v>5</v>
      </c>
    </row>
    <row r="12" spans="1:24" ht="33" customHeight="1">
      <c r="A12" s="567" t="e">
        <f>ソート!#REF!</f>
        <v>#REF!</v>
      </c>
      <c r="B12" s="128">
        <f>IF(ソート!B50="","",ソート!B50)</f>
        <v>0</v>
      </c>
      <c r="C12" s="124" t="str">
        <f>IF(B12="","",ソート!E50)</f>
        <v>●</v>
      </c>
      <c r="D12" s="124">
        <f>IF(B12="","",ソート!F50)</f>
        <v>6</v>
      </c>
      <c r="E12" s="123">
        <f>IF(ソート!I50="","",ソート!I50)</f>
      </c>
      <c r="F12" s="124">
        <f>IF(E12="","",ソート!L50)</f>
      </c>
      <c r="G12" s="124">
        <f>IF(E12="","",ソート!M50)</f>
      </c>
      <c r="H12" s="123">
        <f>IF(ソート!P50="","",ソート!P50)</f>
        <v>0</v>
      </c>
      <c r="I12" s="124" t="str">
        <f>IF(H12="","",ソート!S50)</f>
        <v>●</v>
      </c>
      <c r="J12" s="124">
        <f>IF(H12="","",ソート!T50)</f>
        <v>1</v>
      </c>
      <c r="K12" s="123">
        <f>IF(ソート!W50="","",ソート!W50)</f>
        <v>2</v>
      </c>
      <c r="L12" s="124" t="str">
        <f>IF(K12="","",ソート!Z50)</f>
        <v>○</v>
      </c>
      <c r="M12" s="124">
        <f>IF(K12="","",ソート!AA50)</f>
        <v>0</v>
      </c>
      <c r="N12" s="33"/>
      <c r="O12" s="72"/>
      <c r="P12" s="34"/>
      <c r="Q12" s="123">
        <f>IF(ソート!AK50="","",ソート!AK50)</f>
      </c>
      <c r="R12" s="124">
        <f>IF(Q12="","",ソート!AN50)</f>
      </c>
      <c r="S12" s="124">
        <f>IF(Q12="","",ソート!AO50)</f>
      </c>
      <c r="T12" s="571"/>
      <c r="U12" s="577" t="e">
        <f>IF(ソート!#REF!="","",ソート!#REF!)</f>
        <v>#REF!</v>
      </c>
      <c r="V12" s="577" t="e">
        <f>IF(ソート!#REF!="","",ソート!#REF!)</f>
        <v>#REF!</v>
      </c>
      <c r="W12" s="579" t="e">
        <f>IF(ソート!#REF!="","",ソート!#REF!)</f>
        <v>#REF!</v>
      </c>
      <c r="X12" s="582"/>
    </row>
    <row r="13" spans="1:24" ht="33" customHeight="1">
      <c r="A13" s="566" t="str">
        <f>ソート!A55</f>
        <v>松任中学校</v>
      </c>
      <c r="B13" s="125">
        <f>IF(ソート!B55="","",ソート!B55)</f>
        <v>0</v>
      </c>
      <c r="C13" s="126" t="str">
        <f>IF(B13="","",ソート!E55)</f>
        <v>●</v>
      </c>
      <c r="D13" s="126">
        <f>IF(B13="","",ソート!F55)</f>
        <v>7</v>
      </c>
      <c r="E13" s="127">
        <f>IF(ソート!I55="","",ソート!I55)</f>
        <v>0</v>
      </c>
      <c r="F13" s="126" t="str">
        <f>IF(E13="","",ソート!L55)</f>
        <v>●</v>
      </c>
      <c r="G13" s="126">
        <f>IF(E13="","",ソート!M55)</f>
        <v>5</v>
      </c>
      <c r="H13" s="127">
        <f>IF(ソート!P55="","",ソート!P55)</f>
        <v>0</v>
      </c>
      <c r="I13" s="126" t="str">
        <f>IF(H13="","",ソート!S55)</f>
        <v>●</v>
      </c>
      <c r="J13" s="126">
        <f>IF(H13="","",ソート!T55)</f>
        <v>11</v>
      </c>
      <c r="K13" s="127">
        <f>IF(ソート!W55="","",ソート!W55)</f>
        <v>0</v>
      </c>
      <c r="L13" s="126" t="str">
        <f>IF(K13="","",ソート!Z55)</f>
        <v>●</v>
      </c>
      <c r="M13" s="126">
        <f>IF(K13="","",ソート!AA55)</f>
        <v>5</v>
      </c>
      <c r="N13" s="127">
        <f>IF(ソート!AD55="","",ソート!AD55)</f>
        <v>1</v>
      </c>
      <c r="O13" s="126" t="str">
        <f>IF(N13="","",ソート!AG55)</f>
        <v>●</v>
      </c>
      <c r="P13" s="126">
        <f>IF(N13="","",ソート!AH55)</f>
        <v>2</v>
      </c>
      <c r="Q13" s="76"/>
      <c r="R13" s="77"/>
      <c r="S13" s="78"/>
      <c r="T13" s="570">
        <f>IF(ソート!AR55="","",ソート!AR55)</f>
        <v>0</v>
      </c>
      <c r="U13" s="576">
        <f>IF(ソート!AS55="","",ソート!AS55)</f>
        <v>1</v>
      </c>
      <c r="V13" s="576">
        <f>IF(ソート!AT55="","",ソート!AT55)</f>
        <v>39</v>
      </c>
      <c r="W13" s="578">
        <f>IF(ソート!AU55="","",ソート!AU55)</f>
        <v>-38</v>
      </c>
      <c r="X13" s="581">
        <f>IF(ソート!AV55="","",ソート!AV55)</f>
        <v>6</v>
      </c>
    </row>
    <row r="14" spans="1:24" ht="33" customHeight="1" thickBot="1">
      <c r="A14" s="567" t="e">
        <f>ソート!#REF!</f>
        <v>#REF!</v>
      </c>
      <c r="B14" s="128">
        <f>IF(ソート!B60="","",ソート!B60)</f>
        <v>0</v>
      </c>
      <c r="C14" s="124" t="str">
        <f>IF(B14="","",ソート!E60)</f>
        <v>●</v>
      </c>
      <c r="D14" s="124">
        <f>IF(B14="","",ソート!F60)</f>
        <v>3</v>
      </c>
      <c r="E14" s="123">
        <f>IF(ソート!I60="","",ソート!I60)</f>
        <v>0</v>
      </c>
      <c r="F14" s="124" t="str">
        <f>IF(E14="","",ソート!L60)</f>
        <v>●</v>
      </c>
      <c r="G14" s="124">
        <f>IF(E14="","",ソート!M60)</f>
        <v>3</v>
      </c>
      <c r="H14" s="123">
        <f>IF(ソート!P60="","",ソート!P60)</f>
      </c>
      <c r="I14" s="124">
        <f>IF(H14="","",ソート!S60)</f>
      </c>
      <c r="J14" s="124">
        <f>IF(H14="","",ソート!T60)</f>
      </c>
      <c r="K14" s="123">
        <f>IF(ソート!W60="","",ソート!W60)</f>
        <v>0</v>
      </c>
      <c r="L14" s="124" t="str">
        <f>IF(K14="","",ソート!Z60)</f>
        <v>●</v>
      </c>
      <c r="M14" s="124">
        <f>IF(K14="","",ソート!AA60)</f>
        <v>3</v>
      </c>
      <c r="N14" s="123">
        <f>IF(ソート!AD60="","",ソート!AD60)</f>
      </c>
      <c r="O14" s="124">
        <f>IF(N14="","",ソート!AG60)</f>
      </c>
      <c r="P14" s="124">
        <f>IF(N14="","",ソート!AH60)</f>
      </c>
      <c r="Q14" s="33"/>
      <c r="R14" s="72"/>
      <c r="S14" s="34"/>
      <c r="T14" s="571"/>
      <c r="U14" s="577" t="e">
        <f>IF(ソート!#REF!="","",ソート!#REF!)</f>
        <v>#REF!</v>
      </c>
      <c r="V14" s="577" t="e">
        <f>IF(ソート!#REF!="","",ソート!#REF!)</f>
        <v>#REF!</v>
      </c>
      <c r="W14" s="579" t="e">
        <f>IF(ソート!#REF!="","",ソート!#REF!)</f>
        <v>#REF!</v>
      </c>
      <c r="X14" s="582"/>
    </row>
    <row r="15" spans="1:24" ht="17.25">
      <c r="A15" s="80"/>
      <c r="B15" s="81">
        <f>IF(ソート!B65="","",ソート!B65)</f>
      </c>
      <c r="C15" s="81">
        <f>IF(ソート!E65="","",ソート!E65)</f>
      </c>
      <c r="D15" s="81">
        <f>IF(ソート!F65="","",ソート!F65)</f>
      </c>
      <c r="E15" s="81">
        <f>IF(ソート!I65="","",ソート!I65)</f>
      </c>
      <c r="F15" s="81">
        <f>IF(ソート!L65="","",ソート!L65)</f>
      </c>
      <c r="G15" s="81">
        <f>IF(ソート!M65="","",ソート!M65)</f>
      </c>
      <c r="H15" s="81">
        <f>IF(ソート!P65="","",ソート!P65)</f>
      </c>
      <c r="I15" s="81">
        <f>IF(ソート!S65="","",ソート!S65)</f>
      </c>
      <c r="J15" s="81">
        <f>IF(ソート!T65="","",ソート!T65)</f>
      </c>
      <c r="K15" s="81">
        <f>IF(ソート!W65="","",ソート!W65)</f>
      </c>
      <c r="L15" s="81">
        <f>IF(ソート!Z65="","",ソート!Z65)</f>
      </c>
      <c r="M15" s="81">
        <f>IF(ソート!AA65="","",ソート!AA65)</f>
      </c>
      <c r="N15" s="81">
        <f>IF(ソート!AD65="","",ソート!AD65)</f>
      </c>
      <c r="O15" s="81">
        <f>IF(ソート!AG65="","",ソート!AG65)</f>
      </c>
      <c r="P15" s="81">
        <f>IF(ソート!AH65="","",ソート!AH65)</f>
      </c>
      <c r="Q15" s="81">
        <f>IF(ソート!AK65="","",ソート!AK65)</f>
      </c>
      <c r="R15" s="81">
        <f>IF(ソート!AN65="","",ソート!AN65)</f>
      </c>
      <c r="S15" s="81">
        <f>IF(ソート!AO65="","",ソート!AO65)</f>
      </c>
      <c r="T15" s="81">
        <f>IF(ソート!AR65="","",ソート!AR65)</f>
      </c>
      <c r="U15" s="81">
        <f>IF(ソート!AS65="","",ソート!AS65)</f>
        <v>125</v>
      </c>
      <c r="V15" s="81">
        <f>IF(ソート!AT65="","",ソート!AT65)</f>
        <v>125</v>
      </c>
      <c r="W15" s="81">
        <f>IF(ソート!AU65="","",ソート!AU65)</f>
        <v>0</v>
      </c>
      <c r="X15" s="81">
        <f>IF(ソート!AV65="","",ソート!AV65)</f>
      </c>
    </row>
    <row r="16" spans="2:19" ht="13.5">
      <c r="B16" s="1"/>
      <c r="C16" s="1"/>
      <c r="D16" s="1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sheetProtection/>
  <mergeCells count="44">
    <mergeCell ref="X5:X6"/>
    <mergeCell ref="U5:U6"/>
    <mergeCell ref="V5:V6"/>
    <mergeCell ref="T9:T10"/>
    <mergeCell ref="T11:T12"/>
    <mergeCell ref="X3:X4"/>
    <mergeCell ref="V7:V8"/>
    <mergeCell ref="U9:U10"/>
    <mergeCell ref="W5:W6"/>
    <mergeCell ref="V3:V4"/>
    <mergeCell ref="W13:W14"/>
    <mergeCell ref="U13:U14"/>
    <mergeCell ref="V13:V14"/>
    <mergeCell ref="X13:X14"/>
    <mergeCell ref="W7:W8"/>
    <mergeCell ref="U3:U4"/>
    <mergeCell ref="X7:X8"/>
    <mergeCell ref="X9:X10"/>
    <mergeCell ref="X11:X12"/>
    <mergeCell ref="U7:U8"/>
    <mergeCell ref="W3:W4"/>
    <mergeCell ref="W9:W10"/>
    <mergeCell ref="U11:U12"/>
    <mergeCell ref="V11:V12"/>
    <mergeCell ref="W11:W12"/>
    <mergeCell ref="A9:A10"/>
    <mergeCell ref="A11:A12"/>
    <mergeCell ref="V9:V10"/>
    <mergeCell ref="A13:A14"/>
    <mergeCell ref="A3:A4"/>
    <mergeCell ref="A5:A6"/>
    <mergeCell ref="A7:A8"/>
    <mergeCell ref="T13:T14"/>
    <mergeCell ref="T7:T8"/>
    <mergeCell ref="T3:T4"/>
    <mergeCell ref="T5:T6"/>
    <mergeCell ref="U1:W1"/>
    <mergeCell ref="B2:D2"/>
    <mergeCell ref="E2:G2"/>
    <mergeCell ref="H2:J2"/>
    <mergeCell ref="K2:M2"/>
    <mergeCell ref="N2:P2"/>
    <mergeCell ref="Q2:S2"/>
    <mergeCell ref="A1:S1"/>
  </mergeCells>
  <printOptions horizontalCentered="1"/>
  <pageMargins left="0.3937007874015748" right="0" top="0" bottom="0.3937007874015748" header="0" footer="0"/>
  <pageSetup horizontalDpi="300" verticalDpi="300" orientation="landscape" paperSize="9" scale="12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Q51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5.625" defaultRowHeight="13.5"/>
  <cols>
    <col min="1" max="1" width="3.50390625" style="43" customWidth="1"/>
    <col min="2" max="2" width="3.625" style="43" customWidth="1"/>
    <col min="3" max="9" width="12.00390625" style="43" customWidth="1"/>
    <col min="10" max="10" width="3.375" style="43" customWidth="1"/>
    <col min="11" max="11" width="24.125" style="43" customWidth="1"/>
    <col min="12" max="16384" width="5.625" style="43" customWidth="1"/>
  </cols>
  <sheetData>
    <row r="1" spans="1:11" ht="17.25">
      <c r="A1" s="40"/>
      <c r="B1" s="41"/>
      <c r="C1" s="41"/>
      <c r="D1" s="41"/>
      <c r="E1" s="41"/>
      <c r="F1" s="41"/>
      <c r="G1" s="41"/>
      <c r="H1" s="41"/>
      <c r="I1" s="41"/>
      <c r="J1" s="42"/>
      <c r="K1" s="82" t="s">
        <v>14</v>
      </c>
    </row>
    <row r="2" spans="1:17" ht="18.75">
      <c r="A2" s="44"/>
      <c r="B2" s="56" t="s">
        <v>8</v>
      </c>
      <c r="C2" s="45"/>
      <c r="D2" s="45"/>
      <c r="E2" s="45"/>
      <c r="F2" s="45"/>
      <c r="G2" s="56"/>
      <c r="H2" s="150"/>
      <c r="I2" s="150"/>
      <c r="J2" s="151"/>
      <c r="K2" s="89" t="s">
        <v>18</v>
      </c>
      <c r="L2" s="148"/>
      <c r="M2" s="148"/>
      <c r="N2" s="148"/>
      <c r="O2" s="148"/>
      <c r="P2" s="148"/>
      <c r="Q2" s="148"/>
    </row>
    <row r="3" spans="1:11" ht="13.5">
      <c r="A3" s="143"/>
      <c r="B3" s="144"/>
      <c r="C3" s="144"/>
      <c r="D3" s="144"/>
      <c r="E3" s="144"/>
      <c r="F3" s="144"/>
      <c r="G3" s="145"/>
      <c r="H3" s="146"/>
      <c r="I3" s="146"/>
      <c r="J3" s="147"/>
      <c r="K3" s="590" t="s">
        <v>19</v>
      </c>
    </row>
    <row r="4" spans="1:11" s="49" customFormat="1" ht="18" thickBot="1">
      <c r="A4" s="47"/>
      <c r="B4" s="91" t="s">
        <v>9</v>
      </c>
      <c r="C4" s="153"/>
      <c r="D4" s="154"/>
      <c r="E4" s="129" t="s">
        <v>41</v>
      </c>
      <c r="G4" s="93" t="s">
        <v>13</v>
      </c>
      <c r="H4" s="84" t="s">
        <v>17</v>
      </c>
      <c r="I4" s="152"/>
      <c r="J4" s="48"/>
      <c r="K4" s="590"/>
    </row>
    <row r="5" spans="1:17" s="49" customFormat="1" ht="9" customHeight="1">
      <c r="A5" s="155"/>
      <c r="B5" s="156"/>
      <c r="C5" s="157"/>
      <c r="D5" s="158"/>
      <c r="E5" s="159"/>
      <c r="F5" s="159"/>
      <c r="G5" s="160"/>
      <c r="H5" s="161"/>
      <c r="I5" s="159"/>
      <c r="J5" s="163"/>
      <c r="K5" s="164"/>
      <c r="L5" s="162"/>
      <c r="M5" s="162"/>
      <c r="N5" s="162"/>
      <c r="O5" s="162"/>
      <c r="P5" s="162"/>
      <c r="Q5" s="162"/>
    </row>
    <row r="6" spans="1:11" ht="27" customHeight="1" thickBot="1">
      <c r="A6" s="44"/>
      <c r="B6" s="92" t="s">
        <v>10</v>
      </c>
      <c r="C6" s="50"/>
      <c r="D6" s="586" t="str">
        <f>" "&amp;'結果'!B4&amp;" （ "&amp;'編成'!F2&amp;"リーグ ）"</f>
        <v> 　第４回 石川県ユース(Ｕ－1３)サッカーリーグ 2014 （ Ａリーグ ）</v>
      </c>
      <c r="E6" s="586"/>
      <c r="F6" s="586"/>
      <c r="G6" s="586"/>
      <c r="H6" s="586"/>
      <c r="I6" s="586"/>
      <c r="J6" s="46"/>
      <c r="K6" s="89" t="s">
        <v>42</v>
      </c>
    </row>
    <row r="7" spans="1:11" s="49" customFormat="1" ht="22.5" customHeight="1" thickBot="1">
      <c r="A7" s="47"/>
      <c r="B7" s="51"/>
      <c r="C7" s="51"/>
      <c r="D7" s="52"/>
      <c r="E7" s="53"/>
      <c r="F7" s="54"/>
      <c r="G7" s="54"/>
      <c r="H7" s="55"/>
      <c r="I7" s="55"/>
      <c r="J7" s="48"/>
      <c r="K7" s="89" t="s">
        <v>43</v>
      </c>
    </row>
    <row r="8" spans="1:11" ht="24" customHeight="1">
      <c r="A8" s="44"/>
      <c r="B8" s="594" t="s">
        <v>11</v>
      </c>
      <c r="C8" s="595"/>
      <c r="D8" s="88" t="str">
        <f>C9</f>
        <v>FC.SOUTHERN</v>
      </c>
      <c r="E8" s="88" t="str">
        <f>C15</f>
        <v>ＦＣ．ＴＯＮ</v>
      </c>
      <c r="F8" s="88" t="str">
        <f>C21</f>
        <v>ＦＣ小松</v>
      </c>
      <c r="G8" s="88" t="str">
        <f>C27</f>
        <v>根上中学校</v>
      </c>
      <c r="H8" s="88" t="str">
        <f>C33</f>
        <v>河北台ＳＣ</v>
      </c>
      <c r="I8" s="88" t="str">
        <f>C39</f>
        <v>松任中学校</v>
      </c>
      <c r="J8" s="63"/>
      <c r="K8" s="49"/>
    </row>
    <row r="9" spans="1:10" ht="14.25" customHeight="1">
      <c r="A9" s="44"/>
      <c r="B9" s="587">
        <v>1</v>
      </c>
      <c r="C9" s="591" t="str">
        <f>ソート!A5</f>
        <v>FC.SOUTHERN</v>
      </c>
      <c r="D9" s="60"/>
      <c r="E9" s="85" t="str">
        <f>IF(E11="","",ソート!J8&amp;" "&amp;MONTH(ソート!L8)&amp;"/"&amp;DAY(ソート!L8))</f>
        <v>⑥ 6/28</v>
      </c>
      <c r="F9" s="85" t="str">
        <f>IF(F11="","",ソート!Q8&amp;" "&amp;MONTH(ソート!S8)&amp;"/"&amp;DAY(ソート!S8))</f>
        <v>⑤ 5/31</v>
      </c>
      <c r="G9" s="85" t="str">
        <f>IF(G11="","",ソート!X8&amp;" "&amp;MONTH(ソート!Z8)&amp;"/"&amp;DAY(ソート!Z8))</f>
        <v>⑤ 6/1</v>
      </c>
      <c r="H9" s="85" t="str">
        <f>IF(H11="","",ソート!AE8&amp;" "&amp;MONTH(ソート!AG8)&amp;"/"&amp;DAY(ソート!AG8))</f>
        <v>④ 5/25</v>
      </c>
      <c r="I9" s="85" t="str">
        <f>IF(I11="","",ソート!AL8&amp;" "&amp;MONTH(ソート!AN8)&amp;"/"&amp;DAY(ソート!AN8))</f>
        <v>⑤ 6/7</v>
      </c>
      <c r="J9" s="64"/>
    </row>
    <row r="10" spans="1:11" ht="14.25" customHeight="1">
      <c r="A10" s="44"/>
      <c r="B10" s="588"/>
      <c r="C10" s="592"/>
      <c r="D10" s="61"/>
      <c r="E10" s="86" t="str">
        <f>IF(E11="","",ソート!L5&amp;" "&amp;WIDECHAR(ソート!I5)&amp;"－"&amp;WIDECHAR(ソート!M5))</f>
        <v>● ０－２</v>
      </c>
      <c r="F10" s="86" t="str">
        <f>IF(F11="","",ソート!S5&amp;" "&amp;WIDECHAR(ソート!P5)&amp;"－"&amp;WIDECHAR(ソート!T5))</f>
        <v>○ ４－２</v>
      </c>
      <c r="G10" s="86" t="str">
        <f>IF(G11="","",ソート!Z5&amp;" "&amp;WIDECHAR(ソート!W5)&amp;"－"&amp;WIDECHAR(ソート!AA5))</f>
        <v>○ ９－０</v>
      </c>
      <c r="H10" s="86" t="str">
        <f>IF(H11="","",ソート!AG5&amp;" "&amp;WIDECHAR(ソート!AD5)&amp;"－"&amp;WIDECHAR(ソート!AH5))</f>
        <v>○ １２－０</v>
      </c>
      <c r="I10" s="86" t="str">
        <f>IF(I11="","",ソート!AN5&amp;" "&amp;WIDECHAR(ソート!AK5)&amp;"－"&amp;WIDECHAR(ソート!AO5))</f>
        <v>○ ７－０</v>
      </c>
      <c r="J10" s="63"/>
      <c r="K10" s="49"/>
    </row>
    <row r="11" spans="1:10" ht="14.25" customHeight="1">
      <c r="A11" s="44"/>
      <c r="B11" s="588"/>
      <c r="C11" s="592"/>
      <c r="D11" s="61"/>
      <c r="E11" s="87" t="str">
        <f>IF(ソート!I9="","",ソート!I9)</f>
        <v>北部公園Ｇ</v>
      </c>
      <c r="F11" s="87" t="str">
        <f>IF(ソート!P9="","",ソート!P9)</f>
        <v>ドーム</v>
      </c>
      <c r="G11" s="87" t="str">
        <f>IF(ソート!W9="","",ソート!W9)</f>
        <v>松任中Ｇ</v>
      </c>
      <c r="H11" s="87" t="str">
        <f>IF(ソート!AD9="","",ソート!AD9)</f>
        <v>ドーム</v>
      </c>
      <c r="I11" s="87" t="str">
        <f>IF(ソート!AK9="","",ソート!AK9)</f>
        <v>高岡中Ｇ</v>
      </c>
      <c r="J11" s="64"/>
    </row>
    <row r="12" spans="1:10" ht="14.25" customHeight="1">
      <c r="A12" s="44"/>
      <c r="B12" s="588"/>
      <c r="C12" s="592"/>
      <c r="D12" s="61"/>
      <c r="E12" s="85" t="str">
        <f>IF(E14="","",ソート!J13&amp;" "&amp;MONTH(ソート!L13)&amp;"/"&amp;DAY(ソート!L13))</f>
        <v>⑫ 10/4</v>
      </c>
      <c r="F12" s="85" t="str">
        <f>IF(F14="","",ソート!Q13&amp;" "&amp;MONTH(ソート!S13)&amp;"/"&amp;DAY(ソート!S13))</f>
        <v>⑪ 9/27</v>
      </c>
      <c r="G12" s="85" t="str">
        <f>IF(G14="","",ソート!X13&amp;" "&amp;MONTH(ソート!Z13)&amp;"/"&amp;DAY(ソート!Z13))</f>
        <v>⑬ 10/18</v>
      </c>
      <c r="H12" s="85" t="str">
        <f>IF(H14="","",ソート!AE13&amp;" "&amp;MONTH(ソート!AG13)&amp;"/"&amp;DAY(ソート!AG13))</f>
        <v>⑧ 7/27</v>
      </c>
      <c r="I12" s="85" t="str">
        <f>IF(I14="","",ソート!AL13&amp;" "&amp;MONTH(ソート!AN13)&amp;"/"&amp;DAY(ソート!AN13))</f>
        <v>⑨ 8/9</v>
      </c>
      <c r="J12" s="64"/>
    </row>
    <row r="13" spans="1:10" ht="14.25" customHeight="1">
      <c r="A13" s="44"/>
      <c r="B13" s="588"/>
      <c r="C13" s="592"/>
      <c r="D13" s="61"/>
      <c r="E13" s="86" t="str">
        <f>IF(E14="","",ソート!L10&amp;" "&amp;WIDECHAR(ソート!I10)&amp;"－"&amp;WIDECHAR(ソート!M10))</f>
        <v> －</v>
      </c>
      <c r="F13" s="86" t="str">
        <f>IF(F14="","",ソート!S10&amp;" "&amp;WIDECHAR(ソート!P10)&amp;"－"&amp;WIDECHAR(ソート!T10))</f>
        <v> －</v>
      </c>
      <c r="G13" s="86" t="str">
        <f>IF(G14="","",ソート!Z10&amp;" "&amp;WIDECHAR(ソート!W10)&amp;"－"&amp;WIDECHAR(ソート!AA10))</f>
        <v> －</v>
      </c>
      <c r="H13" s="86" t="str">
        <f>IF(H14="","",ソート!AG10&amp;" "&amp;WIDECHAR(ソート!AD10)&amp;"－"&amp;WIDECHAR(ソート!AH10))</f>
        <v>○ ６－０</v>
      </c>
      <c r="I13" s="86" t="str">
        <f>IF(I14="","",ソート!AN10&amp;" "&amp;WIDECHAR(ソート!AK10)&amp;"－"&amp;WIDECHAR(ソート!AO10))</f>
        <v>○ ３－０</v>
      </c>
      <c r="J13" s="64"/>
    </row>
    <row r="14" spans="1:10" ht="14.25" customHeight="1">
      <c r="A14" s="44"/>
      <c r="B14" s="589"/>
      <c r="C14" s="593"/>
      <c r="D14" s="61"/>
      <c r="E14" s="87" t="str">
        <f>IF(ソート!I14="","",ソート!I14)</f>
        <v>松任公園Ｇ</v>
      </c>
      <c r="F14" s="87" t="str">
        <f>IF(ソート!P14="","",ソート!P14)</f>
        <v>能登島Ｂ</v>
      </c>
      <c r="G14" s="87" t="str">
        <f>IF(ソート!W14="","",ソート!W14)</f>
        <v>松任中Ｇ</v>
      </c>
      <c r="H14" s="87" t="str">
        <f>IF(ソート!AD14="","",ソート!AD14)</f>
        <v>松任中Ｇ</v>
      </c>
      <c r="I14" s="87" t="str">
        <f>IF(ソート!AK14="","",ソート!AK14)</f>
        <v>松任中Ｇ</v>
      </c>
      <c r="J14" s="64"/>
    </row>
    <row r="15" spans="1:11" ht="14.25" customHeight="1">
      <c r="A15" s="44"/>
      <c r="B15" s="587">
        <v>2</v>
      </c>
      <c r="C15" s="591" t="str">
        <f>ソート!A15</f>
        <v>ＦＣ．ＴＯＮ</v>
      </c>
      <c r="D15" s="85" t="str">
        <f>IF(D17="","",ソート!C18&amp;" "&amp;MONTH(ソート!E18)&amp;"/"&amp;DAY(ソート!E18))</f>
        <v>⑥ 6/28</v>
      </c>
      <c r="E15" s="60"/>
      <c r="F15" s="85" t="str">
        <f>IF(F17="","",ソート!Q18&amp;" "&amp;MONTH(ソート!S18)&amp;"/"&amp;DAY(ソート!S18))</f>
        <v>④ 5/24</v>
      </c>
      <c r="G15" s="85" t="str">
        <f>IF(G17="","",ソート!X18&amp;" "&amp;MONTH(ソート!Z18)&amp;"/"&amp;DAY(ソート!Z18))</f>
        <v>④ 5/24</v>
      </c>
      <c r="H15" s="85" t="str">
        <f>IF(H17="","",ソート!AE18&amp;" "&amp;MONTH(ソート!AG18)&amp;"/"&amp;DAY(ソート!AG18))</f>
        <v>⑦ 7/6</v>
      </c>
      <c r="I15" s="85" t="str">
        <f>IF(I17="","",ソート!AL18&amp;" "&amp;MONTH(ソート!AN18)&amp;"/"&amp;DAY(ソート!AN18))</f>
        <v>⑦ 7/13</v>
      </c>
      <c r="J15" s="63"/>
      <c r="K15" s="49"/>
    </row>
    <row r="16" spans="1:10" ht="14.25" customHeight="1">
      <c r="A16" s="44"/>
      <c r="B16" s="588"/>
      <c r="C16" s="592"/>
      <c r="D16" s="86" t="str">
        <f>IF(D17="","",ソート!E15&amp;" "&amp;WIDECHAR(ソート!B15)&amp;"－"&amp;WIDECHAR(ソート!F15))</f>
        <v>○ ２－０</v>
      </c>
      <c r="E16" s="61"/>
      <c r="F16" s="86" t="str">
        <f>IF(F17="","",ソート!S15&amp;" "&amp;WIDECHAR(ソート!P15)&amp;"－"&amp;WIDECHAR(ソート!T15))</f>
        <v>● ０－５</v>
      </c>
      <c r="G16" s="86" t="str">
        <f>IF(G17="","",ソート!Z15&amp;" "&amp;WIDECHAR(ソート!W15)&amp;"－"&amp;WIDECHAR(ソート!AA15))</f>
        <v>○ ４－０</v>
      </c>
      <c r="H16" s="86" t="str">
        <f>IF(H17="","",ソート!AG15&amp;" "&amp;WIDECHAR(ソート!AD15)&amp;"－"&amp;WIDECHAR(ソート!AH15))</f>
        <v>○ ７－１</v>
      </c>
      <c r="I16" s="86" t="str">
        <f>IF(I17="","",ソート!AN15&amp;" "&amp;WIDECHAR(ソート!AK15)&amp;"－"&amp;WIDECHAR(ソート!AO15))</f>
        <v>○ ５－０</v>
      </c>
      <c r="J16" s="64"/>
    </row>
    <row r="17" spans="1:11" ht="14.25" customHeight="1">
      <c r="A17" s="44"/>
      <c r="B17" s="588"/>
      <c r="C17" s="592"/>
      <c r="D17" s="87" t="str">
        <f>IF(ソート!B19="","",ソート!B19)</f>
        <v>北部公園Ｇ</v>
      </c>
      <c r="E17" s="61"/>
      <c r="F17" s="87" t="str">
        <f>IF(ソート!P19="","",ソート!P19)</f>
        <v>ドーム</v>
      </c>
      <c r="G17" s="87" t="str">
        <f>IF(ソート!W19="","",ソート!W19)</f>
        <v>北星中Ｇ</v>
      </c>
      <c r="H17" s="87" t="str">
        <f>IF(ソート!AD19="","",ソート!AD19)</f>
        <v>北星中Ｇ</v>
      </c>
      <c r="I17" s="87" t="str">
        <f>IF(ソート!AK19="","",ソート!AK19)</f>
        <v>松任中Ｇ</v>
      </c>
      <c r="J17" s="63"/>
      <c r="K17" s="49"/>
    </row>
    <row r="18" spans="1:11" ht="14.25" customHeight="1">
      <c r="A18" s="44"/>
      <c r="B18" s="588"/>
      <c r="C18" s="592"/>
      <c r="D18" s="85" t="str">
        <f>IF(D20="","",ソート!C23&amp;" "&amp;MONTH(ソート!E23)&amp;"/"&amp;DAY(ソート!E23))</f>
        <v>⑫ 10/4</v>
      </c>
      <c r="E18" s="61"/>
      <c r="F18" s="85" t="str">
        <f>IF(F20="","",ソート!Q23&amp;" "&amp;MONTH(ソート!S23)&amp;"/"&amp;DAY(ソート!S23))</f>
        <v>⑫ 10/4</v>
      </c>
      <c r="G18" s="85" t="str">
        <f>IF(G20="","",ソート!X23&amp;" "&amp;MONTH(ソート!Z23)&amp;"/"&amp;DAY(ソート!Z23))</f>
        <v>⑨ 8/9</v>
      </c>
      <c r="H18" s="85" t="str">
        <f>IF(H20="","",ソート!AE23&amp;" "&amp;MONTH(ソート!AG23)&amp;"/"&amp;DAY(ソート!AG23))</f>
        <v>⑪ 9/27</v>
      </c>
      <c r="I18" s="85" t="str">
        <f>IF(I20="","",ソート!AL23&amp;" "&amp;MONTH(ソート!AN23)&amp;"/"&amp;DAY(ソート!AN23))</f>
        <v>⑧ 7/27</v>
      </c>
      <c r="J18" s="63"/>
      <c r="K18" s="49"/>
    </row>
    <row r="19" spans="1:11" ht="14.25" customHeight="1">
      <c r="A19" s="44"/>
      <c r="B19" s="588"/>
      <c r="C19" s="592"/>
      <c r="D19" s="86" t="str">
        <f>IF(D20="","",ソート!E20&amp;" "&amp;WIDECHAR(ソート!B20)&amp;"－"&amp;WIDECHAR(ソート!F20))</f>
        <v> －</v>
      </c>
      <c r="E19" s="61"/>
      <c r="F19" s="86" t="str">
        <f>IF(F20="","",ソート!S20&amp;" "&amp;WIDECHAR(ソート!P20)&amp;"－"&amp;WIDECHAR(ソート!T20))</f>
        <v> －</v>
      </c>
      <c r="G19" s="86" t="str">
        <f>IF(G20="","",ソート!Z20&amp;" "&amp;WIDECHAR(ソート!W20)&amp;"－"&amp;WIDECHAR(ソート!AA20))</f>
        <v>○ ３－０</v>
      </c>
      <c r="H19" s="86" t="str">
        <f>IF(H20="","",ソート!AG20&amp;" "&amp;WIDECHAR(ソート!AD20)&amp;"－"&amp;WIDECHAR(ソート!AH20))</f>
        <v> －</v>
      </c>
      <c r="I19" s="86" t="str">
        <f>IF(I20="","",ソート!AN20&amp;" "&amp;WIDECHAR(ソート!AK20)&amp;"－"&amp;WIDECHAR(ソート!AO20))</f>
        <v>○ ３－０</v>
      </c>
      <c r="J19" s="63"/>
      <c r="K19" s="49"/>
    </row>
    <row r="20" spans="1:11" ht="14.25" customHeight="1">
      <c r="A20" s="44"/>
      <c r="B20" s="589"/>
      <c r="C20" s="593"/>
      <c r="D20" s="87" t="str">
        <f>IF(ソート!B24="","",ソート!B24)</f>
        <v>松任公園Ｇ</v>
      </c>
      <c r="E20" s="61"/>
      <c r="F20" s="87" t="str">
        <f>IF(ソート!P24="","",ソート!P24)</f>
        <v>松任公園Ｇ</v>
      </c>
      <c r="G20" s="87" t="str">
        <f>IF(ソート!W24="","",ソート!W24)</f>
        <v>野田中Ｇ</v>
      </c>
      <c r="H20" s="87" t="str">
        <f>IF(ソート!AD24="","",ソート!AD24)</f>
        <v>金沢市営</v>
      </c>
      <c r="I20" s="87" t="str">
        <f>IF(ソート!AK24="","",ソート!AK24)</f>
        <v>松任中Ｇ</v>
      </c>
      <c r="J20" s="63"/>
      <c r="K20" s="49"/>
    </row>
    <row r="21" spans="1:10" ht="14.25" customHeight="1">
      <c r="A21" s="44"/>
      <c r="B21" s="587">
        <v>3</v>
      </c>
      <c r="C21" s="591" t="str">
        <f>ソート!A25</f>
        <v>ＦＣ小松</v>
      </c>
      <c r="D21" s="85" t="str">
        <f>IF(D23="","",ソート!C28&amp;" "&amp;MONTH(ソート!E28)&amp;"/"&amp;DAY(ソート!E28))</f>
        <v>⑤ 5/31</v>
      </c>
      <c r="E21" s="85" t="str">
        <f>IF(E23="","",ソート!J28&amp;" "&amp;MONTH(ソート!L28)&amp;"/"&amp;DAY(ソート!L28))</f>
        <v>④ 5/24</v>
      </c>
      <c r="F21" s="60"/>
      <c r="G21" s="85" t="str">
        <f>IF(G23="","",ソート!X28&amp;" "&amp;MONTH(ソート!Z28)&amp;"/"&amp;DAY(ソート!Z28))</f>
        <v>④ 5/25</v>
      </c>
      <c r="H21" s="85" t="str">
        <f>IF(H23="","",ソート!AE28&amp;" "&amp;MONTH(ソート!AG28)&amp;"/"&amp;DAY(ソート!AG28))</f>
        <v>⑥ 6/28</v>
      </c>
      <c r="I21" s="85" t="str">
        <f>IF(I23="","",ソート!AL28&amp;" "&amp;MONTH(ソート!AN28)&amp;"/"&amp;DAY(ソート!AN28))</f>
        <v>⑥ 6/29</v>
      </c>
      <c r="J21" s="64"/>
    </row>
    <row r="22" spans="1:11" ht="14.25" customHeight="1">
      <c r="A22" s="44"/>
      <c r="B22" s="588"/>
      <c r="C22" s="592"/>
      <c r="D22" s="86" t="str">
        <f>IF(D23="","",ソート!E25&amp;" "&amp;WIDECHAR(ソート!B25)&amp;"－"&amp;WIDECHAR(ソート!F25))</f>
        <v>● ２－４</v>
      </c>
      <c r="E22" s="86" t="str">
        <f>IF(E23="","",ソート!L25&amp;" "&amp;WIDECHAR(ソート!I25)&amp;"－"&amp;WIDECHAR(ソート!M25))</f>
        <v>○ ５－０</v>
      </c>
      <c r="F22" s="61"/>
      <c r="G22" s="86" t="str">
        <f>IF(G23="","",ソート!Z25&amp;" "&amp;WIDECHAR(ソート!W25)&amp;"－"&amp;WIDECHAR(ソート!AA25))</f>
        <v>○ １０－０</v>
      </c>
      <c r="H22" s="86" t="str">
        <f>IF(H23="","",ソート!AG25&amp;" "&amp;WIDECHAR(ソート!AD25)&amp;"－"&amp;WIDECHAR(ソート!AH25))</f>
        <v>○ １０－０</v>
      </c>
      <c r="I22" s="86" t="str">
        <f>IF(I23="","",ソート!AN25&amp;" "&amp;WIDECHAR(ソート!AK25)&amp;"－"&amp;WIDECHAR(ソート!AO25))</f>
        <v>○ １１－０</v>
      </c>
      <c r="J22" s="63"/>
      <c r="K22" s="49"/>
    </row>
    <row r="23" spans="1:10" ht="14.25" customHeight="1">
      <c r="A23" s="44"/>
      <c r="B23" s="588"/>
      <c r="C23" s="592"/>
      <c r="D23" s="87" t="str">
        <f>IF(ソート!B29="","",ソート!B29)</f>
        <v>ドーム</v>
      </c>
      <c r="E23" s="87" t="str">
        <f>IF(ソート!I29="","",ソート!I29)</f>
        <v>ドーム</v>
      </c>
      <c r="F23" s="61"/>
      <c r="G23" s="87" t="str">
        <f>IF(ソート!W29="","",ソート!W29)</f>
        <v>ドーム</v>
      </c>
      <c r="H23" s="87" t="str">
        <f>IF(ソート!AD29="","",ソート!AD29)</f>
        <v>北部公園Ｇ</v>
      </c>
      <c r="I23" s="87" t="str">
        <f>IF(ソート!AK29="","",ソート!AK29)</f>
        <v>松任公園Ｇ</v>
      </c>
      <c r="J23" s="64"/>
    </row>
    <row r="24" spans="1:10" ht="14.25" customHeight="1">
      <c r="A24" s="44"/>
      <c r="B24" s="588"/>
      <c r="C24" s="592"/>
      <c r="D24" s="85" t="str">
        <f>IF(D26="","",ソート!C33&amp;" "&amp;MONTH(ソート!E33)&amp;"/"&amp;DAY(ソート!E33))</f>
        <v>⑪ 9/27</v>
      </c>
      <c r="E24" s="85" t="str">
        <f>IF(E26="","",ソート!J33&amp;" "&amp;MONTH(ソート!L33)&amp;"/"&amp;DAY(ソート!L33))</f>
        <v>⑫ 10/4</v>
      </c>
      <c r="F24" s="61"/>
      <c r="G24" s="85" t="str">
        <f>IF(G26="","",ソート!X33&amp;" "&amp;MONTH(ソート!Z33)&amp;"/"&amp;DAY(ソート!Z33))</f>
        <v>⑫ 10/4</v>
      </c>
      <c r="H24" s="85" t="str">
        <f>IF(H26="","",ソート!AE33&amp;" "&amp;MONTH(ソート!AG33)&amp;"/"&amp;DAY(ソート!AG33))</f>
        <v>⑨ 8/9</v>
      </c>
      <c r="I24" s="85" t="str">
        <f>IF(I26="","",ソート!AL33&amp;" "&amp;MONTH(ソート!AN33)&amp;"/"&amp;DAY(ソート!AN33))</f>
        <v>⑬ 10/18</v>
      </c>
      <c r="J24" s="64"/>
    </row>
    <row r="25" spans="1:10" ht="14.25" customHeight="1">
      <c r="A25" s="44"/>
      <c r="B25" s="588"/>
      <c r="C25" s="592"/>
      <c r="D25" s="86" t="str">
        <f>IF(D26="","",ソート!E30&amp;" "&amp;WIDECHAR(ソート!B30)&amp;"－"&amp;WIDECHAR(ソート!F30))</f>
        <v> －</v>
      </c>
      <c r="E25" s="86" t="str">
        <f>IF(E26="","",ソート!L30&amp;" "&amp;WIDECHAR(ソート!I30)&amp;"－"&amp;WIDECHAR(ソート!M30))</f>
        <v> －</v>
      </c>
      <c r="F25" s="61"/>
      <c r="G25" s="86" t="str">
        <f>IF(G26="","",ソート!Z30&amp;" "&amp;WIDECHAR(ソート!W30)&amp;"－"&amp;WIDECHAR(ソート!AA30))</f>
        <v> －</v>
      </c>
      <c r="H25" s="86" t="str">
        <f>IF(H26="","",ソート!AG30&amp;" "&amp;WIDECHAR(ソート!AD30)&amp;"－"&amp;WIDECHAR(ソート!AH30))</f>
        <v>○ １－０</v>
      </c>
      <c r="I25" s="86" t="str">
        <f>IF(I26="","",ソート!AN30&amp;" "&amp;WIDECHAR(ソート!AK30)&amp;"－"&amp;WIDECHAR(ソート!AO30))</f>
        <v> －</v>
      </c>
      <c r="J25" s="64"/>
    </row>
    <row r="26" spans="1:10" ht="14.25" customHeight="1">
      <c r="A26" s="44"/>
      <c r="B26" s="589"/>
      <c r="C26" s="593"/>
      <c r="D26" s="87" t="str">
        <f>IF(ソート!B34="","",ソート!B34)</f>
        <v>能登島Ｂ</v>
      </c>
      <c r="E26" s="87" t="str">
        <f>IF(ソート!I34="","",ソート!I34)</f>
        <v>松任公園Ｇ</v>
      </c>
      <c r="F26" s="61"/>
      <c r="G26" s="87" t="str">
        <f>IF(ソート!W34="","",ソート!W34)</f>
        <v>松任公園Ｇ</v>
      </c>
      <c r="H26" s="87" t="str">
        <f>IF(ソート!AD34="","",ソート!AD34)</f>
        <v>松任中Ｇ</v>
      </c>
      <c r="I26" s="87" t="str">
        <f>IF(ソート!AK34="","",ソート!AK34)</f>
        <v>松任中Ｇ</v>
      </c>
      <c r="J26" s="64"/>
    </row>
    <row r="27" spans="1:11" ht="14.25" customHeight="1">
      <c r="A27" s="44"/>
      <c r="B27" s="587">
        <v>4</v>
      </c>
      <c r="C27" s="591" t="str">
        <f>ソート!A35</f>
        <v>根上中学校</v>
      </c>
      <c r="D27" s="85" t="str">
        <f>IF(D29="","",ソート!C38&amp;" "&amp;MONTH(ソート!E38)&amp;"/"&amp;DAY(ソート!E38))</f>
        <v>⑤ 6/1</v>
      </c>
      <c r="E27" s="85" t="str">
        <f>IF(E29="","",ソート!J38&amp;" "&amp;MONTH(ソート!L38)&amp;"/"&amp;DAY(ソート!L38))</f>
        <v>④ 5/24</v>
      </c>
      <c r="F27" s="85" t="str">
        <f>IF(F29="","",ソート!Q38&amp;" "&amp;MONTH(ソート!S38)&amp;"/"&amp;DAY(ソート!S38))</f>
        <v>④ 5/25</v>
      </c>
      <c r="G27" s="60"/>
      <c r="H27" s="85" t="str">
        <f>IF(H29="","",ソート!AE38&amp;" "&amp;MONTH(ソート!AG38)&amp;"/"&amp;DAY(ソート!AG38))</f>
        <v>④ 5/24</v>
      </c>
      <c r="I27" s="85" t="str">
        <f>IF(I29="","",ソート!AL38&amp;" "&amp;MONTH(ソート!AN38)&amp;"/"&amp;DAY(ソート!AN38))</f>
        <v>⑤ 6/14</v>
      </c>
      <c r="J27" s="63"/>
      <c r="K27" s="49"/>
    </row>
    <row r="28" spans="1:10" ht="14.25" customHeight="1">
      <c r="A28" s="44"/>
      <c r="B28" s="588"/>
      <c r="C28" s="592"/>
      <c r="D28" s="86" t="str">
        <f>IF(D29="","",ソート!E35&amp;" "&amp;WIDECHAR(ソート!B35)&amp;"－"&amp;WIDECHAR(ソート!F35))</f>
        <v>● ０－９</v>
      </c>
      <c r="E28" s="86" t="str">
        <f>IF(E29="","",ソート!L35&amp;" "&amp;WIDECHAR(ソート!I35)&amp;"－"&amp;WIDECHAR(ソート!M35))</f>
        <v>● ０－４</v>
      </c>
      <c r="F28" s="86" t="str">
        <f>IF(F29="","",ソート!S35&amp;" "&amp;WIDECHAR(ソート!P35)&amp;"－"&amp;WIDECHAR(ソート!T35))</f>
        <v>● ０－１０</v>
      </c>
      <c r="G28" s="61"/>
      <c r="H28" s="86" t="str">
        <f>IF(H29="","",ソート!AG35&amp;" "&amp;WIDECHAR(ソート!AD35)&amp;"－"&amp;WIDECHAR(ソート!AH35))</f>
        <v>○ ７－０</v>
      </c>
      <c r="I28" s="86" t="str">
        <f>IF(I29="","",ソート!AN35&amp;" "&amp;WIDECHAR(ソート!AK35)&amp;"－"&amp;WIDECHAR(ソート!AO35))</f>
        <v>○ ５－０</v>
      </c>
      <c r="J28" s="64"/>
    </row>
    <row r="29" spans="1:11" ht="14.25" customHeight="1">
      <c r="A29" s="44"/>
      <c r="B29" s="588"/>
      <c r="C29" s="592"/>
      <c r="D29" s="87" t="str">
        <f>IF(ソート!B39="","",ソート!B39)</f>
        <v>松任中Ｇ</v>
      </c>
      <c r="E29" s="87" t="str">
        <f>IF(ソート!I39="","",ソート!I39)</f>
        <v>北星中Ｇ</v>
      </c>
      <c r="F29" s="87" t="str">
        <f>IF(ソート!P39="","",ソート!P39)</f>
        <v>ドーム</v>
      </c>
      <c r="G29" s="61"/>
      <c r="H29" s="87" t="str">
        <f>IF(ソート!AD39="","",ソート!AD39)</f>
        <v>ドーム</v>
      </c>
      <c r="I29" s="87" t="str">
        <f>IF(ソート!AK39="","",ソート!AK39)</f>
        <v>安原</v>
      </c>
      <c r="J29" s="63"/>
      <c r="K29" s="49"/>
    </row>
    <row r="30" spans="1:11" ht="14.25" customHeight="1">
      <c r="A30" s="44"/>
      <c r="B30" s="588"/>
      <c r="C30" s="592"/>
      <c r="D30" s="85" t="str">
        <f>IF(D32="","",ソート!C43&amp;" "&amp;MONTH(ソート!E43)&amp;"/"&amp;DAY(ソート!E43))</f>
        <v>⑬ 10/18</v>
      </c>
      <c r="E30" s="85" t="str">
        <f>IF(E32="","",ソート!J43&amp;" "&amp;MONTH(ソート!L43)&amp;"/"&amp;DAY(ソート!L43))</f>
        <v>⑨ 8/9</v>
      </c>
      <c r="F30" s="85" t="str">
        <f>IF(F32="","",ソート!Q43&amp;" "&amp;MONTH(ソート!S43)&amp;"/"&amp;DAY(ソート!S43))</f>
        <v>⑫ 10/4</v>
      </c>
      <c r="G30" s="61"/>
      <c r="H30" s="85" t="str">
        <f>IF(H32="","",ソート!AE43&amp;" "&amp;MONTH(ソート!AG43)&amp;"/"&amp;DAY(ソート!AG43))</f>
        <v>⑩ 9/13</v>
      </c>
      <c r="I30" s="85" t="str">
        <f>IF(I32="","",ソート!AL43&amp;" "&amp;MONTH(ソート!AN43)&amp;"/"&amp;DAY(ソート!AN43))</f>
        <v>⑩ 9/6</v>
      </c>
      <c r="J30" s="63"/>
      <c r="K30" s="49"/>
    </row>
    <row r="31" spans="1:11" ht="14.25" customHeight="1">
      <c r="A31" s="44"/>
      <c r="B31" s="588"/>
      <c r="C31" s="592"/>
      <c r="D31" s="86" t="str">
        <f>IF(D32="","",ソート!E40&amp;" "&amp;WIDECHAR(ソート!B40)&amp;"－"&amp;WIDECHAR(ソート!F40))</f>
        <v> －</v>
      </c>
      <c r="E31" s="86" t="str">
        <f>IF(E32="","",ソート!L40&amp;" "&amp;WIDECHAR(ソート!I40)&amp;"－"&amp;WIDECHAR(ソート!M40))</f>
        <v>● ０－３</v>
      </c>
      <c r="F31" s="86" t="str">
        <f>IF(F32="","",ソート!S40&amp;" "&amp;WIDECHAR(ソート!P40)&amp;"－"&amp;WIDECHAR(ソート!T40))</f>
        <v> －</v>
      </c>
      <c r="G31" s="61"/>
      <c r="H31" s="86" t="str">
        <f>IF(H32="","",ソート!AG40&amp;" "&amp;WIDECHAR(ソート!AD40)&amp;"－"&amp;WIDECHAR(ソート!AH40))</f>
        <v>● ０－２</v>
      </c>
      <c r="I31" s="86" t="str">
        <f>IF(I32="","",ソート!AN40&amp;" "&amp;WIDECHAR(ソート!AK40)&amp;"－"&amp;WIDECHAR(ソート!AO40))</f>
        <v>○ ３－０</v>
      </c>
      <c r="J31" s="63"/>
      <c r="K31" s="49"/>
    </row>
    <row r="32" spans="1:11" ht="14.25" customHeight="1">
      <c r="A32" s="44"/>
      <c r="B32" s="589"/>
      <c r="C32" s="593"/>
      <c r="D32" s="87" t="str">
        <f>IF(ソート!B44="","",ソート!B44)</f>
        <v>松任中Ｇ</v>
      </c>
      <c r="E32" s="87" t="str">
        <f>IF(ソート!I44="","",ソート!I44)</f>
        <v>野田中Ｇ</v>
      </c>
      <c r="F32" s="87" t="str">
        <f>IF(ソート!P44="","",ソート!P44)</f>
        <v>松任公園Ｇ</v>
      </c>
      <c r="G32" s="61"/>
      <c r="H32" s="87" t="str">
        <f>IF(ソート!AD44="","",ソート!AD44)</f>
        <v>野田中Ｇ</v>
      </c>
      <c r="I32" s="87" t="str">
        <f>IF(ソート!AK44="","",ソート!AK44)</f>
        <v>北星中Ｇ</v>
      </c>
      <c r="J32" s="63"/>
      <c r="K32" s="49"/>
    </row>
    <row r="33" spans="1:10" ht="14.25" customHeight="1">
      <c r="A33" s="44"/>
      <c r="B33" s="587">
        <v>5</v>
      </c>
      <c r="C33" s="591" t="str">
        <f>ソート!A45</f>
        <v>河北台ＳＣ</v>
      </c>
      <c r="D33" s="85" t="str">
        <f>IF(D35="","",ソート!C48&amp;" "&amp;MONTH(ソート!E48)&amp;"/"&amp;DAY(ソート!E48))</f>
        <v>④ 5/25</v>
      </c>
      <c r="E33" s="85" t="str">
        <f>IF(E35="","",ソート!J48&amp;" "&amp;MONTH(ソート!L48)&amp;"/"&amp;DAY(ソート!L48))</f>
        <v>⑦ 7/6</v>
      </c>
      <c r="F33" s="85" t="str">
        <f>IF(F35="","",ソート!Q48&amp;" "&amp;MONTH(ソート!S48)&amp;"/"&amp;DAY(ソート!S48))</f>
        <v>⑥ 6/28</v>
      </c>
      <c r="G33" s="85" t="str">
        <f>IF(G35="","",ソート!X48&amp;" "&amp;MONTH(ソート!Z48)&amp;"/"&amp;DAY(ソート!Z48))</f>
        <v>④ 5/24</v>
      </c>
      <c r="H33" s="60"/>
      <c r="I33" s="85" t="str">
        <f>IF(I35="","",ソート!AL48&amp;" "&amp;MONTH(ソート!AN48)&amp;"/"&amp;DAY(ソート!AN48))</f>
        <v>⑤ 6/1</v>
      </c>
      <c r="J33" s="64"/>
    </row>
    <row r="34" spans="1:11" ht="14.25" customHeight="1">
      <c r="A34" s="44"/>
      <c r="B34" s="588"/>
      <c r="C34" s="592"/>
      <c r="D34" s="86" t="str">
        <f>IF(D35="","",ソート!E45&amp;" "&amp;WIDECHAR(ソート!B45)&amp;"－"&amp;WIDECHAR(ソート!F45))</f>
        <v>● ０－１２</v>
      </c>
      <c r="E34" s="86" t="str">
        <f>IF(E35="","",ソート!L45&amp;" "&amp;WIDECHAR(ソート!I45)&amp;"－"&amp;WIDECHAR(ソート!M45))</f>
        <v>● １－７</v>
      </c>
      <c r="F34" s="86" t="str">
        <f>IF(F35="","",ソート!S45&amp;" "&amp;WIDECHAR(ソート!P45)&amp;"－"&amp;WIDECHAR(ソート!T45))</f>
        <v>● ０－１０</v>
      </c>
      <c r="G34" s="86" t="str">
        <f>IF(G35="","",ソート!Z45&amp;" "&amp;WIDECHAR(ソート!W45)&amp;"－"&amp;WIDECHAR(ソート!AA45))</f>
        <v>● ０－７</v>
      </c>
      <c r="H34" s="61"/>
      <c r="I34" s="86" t="str">
        <f>IF(I35="","",ソート!AN45&amp;" "&amp;WIDECHAR(ソート!AK45)&amp;"－"&amp;WIDECHAR(ソート!AO45))</f>
        <v>○ ２－１</v>
      </c>
      <c r="J34" s="63"/>
      <c r="K34" s="49"/>
    </row>
    <row r="35" spans="1:10" ht="14.25" customHeight="1">
      <c r="A35" s="44"/>
      <c r="B35" s="588"/>
      <c r="C35" s="592"/>
      <c r="D35" s="87" t="str">
        <f>IF(ソート!B49="","",ソート!B49)</f>
        <v>ドーム</v>
      </c>
      <c r="E35" s="87" t="str">
        <f>IF(ソート!I49="","",ソート!I49)</f>
        <v>北星中Ｇ</v>
      </c>
      <c r="F35" s="87" t="str">
        <f>IF(ソート!P49="","",ソート!P49)</f>
        <v>北部公園Ｇ</v>
      </c>
      <c r="G35" s="87" t="str">
        <f>IF(ソート!W49="","",ソート!W49)</f>
        <v>ドーム</v>
      </c>
      <c r="H35" s="61"/>
      <c r="I35" s="87" t="str">
        <f>IF(ソート!AK49="","",ソート!AK49)</f>
        <v>松任中Ｇ</v>
      </c>
      <c r="J35" s="64"/>
    </row>
    <row r="36" spans="1:10" ht="14.25" customHeight="1">
      <c r="A36" s="44"/>
      <c r="B36" s="588"/>
      <c r="C36" s="592"/>
      <c r="D36" s="85" t="str">
        <f>IF(D38="","",ソート!C53&amp;" "&amp;MONTH(ソート!E53)&amp;"/"&amp;DAY(ソート!E53))</f>
        <v>⑧ 7/27</v>
      </c>
      <c r="E36" s="85" t="str">
        <f>IF(E38="","",ソート!J53&amp;" "&amp;MONTH(ソート!L53)&amp;"/"&amp;DAY(ソート!L53))</f>
        <v>⑪ 9/27</v>
      </c>
      <c r="F36" s="85" t="str">
        <f>IF(F38="","",ソート!Q53&amp;" "&amp;MONTH(ソート!S53)&amp;"/"&amp;DAY(ソート!S53))</f>
        <v>⑨ 8/9</v>
      </c>
      <c r="G36" s="85" t="str">
        <f>IF(G38="","",ソート!X53&amp;" "&amp;MONTH(ソート!Z53)&amp;"/"&amp;DAY(ソート!Z53))</f>
        <v>⑩ 9/13</v>
      </c>
      <c r="H36" s="61"/>
      <c r="I36" s="85" t="str">
        <f>IF(I38="","",ソート!AL53&amp;" "&amp;MONTH(ソート!AN53)&amp;"/"&amp;DAY(ソート!AN53))</f>
        <v>⑬ 10/26</v>
      </c>
      <c r="J36" s="64"/>
    </row>
    <row r="37" spans="1:10" ht="14.25" customHeight="1">
      <c r="A37" s="44"/>
      <c r="B37" s="588"/>
      <c r="C37" s="592"/>
      <c r="D37" s="86" t="str">
        <f>IF(D38="","",ソート!E50&amp;" "&amp;WIDECHAR(ソート!B50)&amp;"－"&amp;WIDECHAR(ソート!F50))</f>
        <v>● ０－６</v>
      </c>
      <c r="E37" s="86" t="str">
        <f>IF(E38="","",ソート!L50&amp;" "&amp;WIDECHAR(ソート!I50)&amp;"－"&amp;WIDECHAR(ソート!M50))</f>
        <v> －</v>
      </c>
      <c r="F37" s="86" t="str">
        <f>IF(F38="","",ソート!S50&amp;" "&amp;WIDECHAR(ソート!P50)&amp;"－"&amp;WIDECHAR(ソート!T50))</f>
        <v>● ０－１</v>
      </c>
      <c r="G37" s="86" t="str">
        <f>IF(G38="","",ソート!Z50&amp;" "&amp;WIDECHAR(ソート!W50)&amp;"－"&amp;WIDECHAR(ソート!AA50))</f>
        <v>○ ２－０</v>
      </c>
      <c r="H37" s="61"/>
      <c r="I37" s="86" t="str">
        <f>IF(I38="","",ソート!AN50&amp;" "&amp;WIDECHAR(ソート!AK50)&amp;"－"&amp;WIDECHAR(ソート!AO50))</f>
        <v> －</v>
      </c>
      <c r="J37" s="64"/>
    </row>
    <row r="38" spans="1:10" ht="14.25" customHeight="1">
      <c r="A38" s="44"/>
      <c r="B38" s="589"/>
      <c r="C38" s="593"/>
      <c r="D38" s="87" t="str">
        <f>IF(ソート!B54="","",ソート!B54)</f>
        <v>松任中Ｇ</v>
      </c>
      <c r="E38" s="87" t="str">
        <f>IF(ソート!I54="","",ソート!I54)</f>
        <v>金沢市営</v>
      </c>
      <c r="F38" s="87" t="str">
        <f>IF(ソート!P54="","",ソート!P54)</f>
        <v>松任中Ｇ</v>
      </c>
      <c r="G38" s="87" t="str">
        <f>IF(ソート!W54="","",ソート!W54)</f>
        <v>野田中Ｇ</v>
      </c>
      <c r="H38" s="61"/>
      <c r="I38" s="87" t="str">
        <f>IF(ソート!AK54="","",ソート!AK54)</f>
        <v>松任公園Ｇ</v>
      </c>
      <c r="J38" s="64"/>
    </row>
    <row r="39" spans="1:11" ht="14.25" customHeight="1">
      <c r="A39" s="44"/>
      <c r="B39" s="587">
        <v>6</v>
      </c>
      <c r="C39" s="591" t="str">
        <f>ソート!A55</f>
        <v>松任中学校</v>
      </c>
      <c r="D39" s="85" t="str">
        <f>IF(D41="","",ソート!C58&amp;" "&amp;MONTH(ソート!E58)&amp;"/"&amp;DAY(ソート!E58))</f>
        <v>⑤ 6/7</v>
      </c>
      <c r="E39" s="85" t="str">
        <f>IF(E41="","",ソート!J58&amp;" "&amp;MONTH(ソート!L58)&amp;"/"&amp;DAY(ソート!L58))</f>
        <v>⑦ 7/13</v>
      </c>
      <c r="F39" s="85" t="str">
        <f>IF(F41="","",ソート!Q58&amp;" "&amp;MONTH(ソート!S58)&amp;"/"&amp;DAY(ソート!S58))</f>
        <v>⑥ 6/29</v>
      </c>
      <c r="G39" s="85" t="str">
        <f>IF(G41="","",ソート!X58&amp;" "&amp;MONTH(ソート!Z58)&amp;"/"&amp;DAY(ソート!Z58))</f>
        <v>⑤ 6/14</v>
      </c>
      <c r="H39" s="85" t="str">
        <f>IF(H41="","",ソート!AE58&amp;" "&amp;MONTH(ソート!AG58)&amp;"/"&amp;DAY(ソート!AG58))</f>
        <v>⑤ 6/1</v>
      </c>
      <c r="I39" s="60"/>
      <c r="J39" s="63"/>
      <c r="K39" s="49"/>
    </row>
    <row r="40" spans="1:10" ht="14.25" customHeight="1">
      <c r="A40" s="44"/>
      <c r="B40" s="588"/>
      <c r="C40" s="592"/>
      <c r="D40" s="86" t="str">
        <f>IF(D41="","",ソート!E55&amp;" "&amp;WIDECHAR(ソート!B55)&amp;"－"&amp;WIDECHAR(ソート!F55))</f>
        <v>● ０－７</v>
      </c>
      <c r="E40" s="86" t="str">
        <f>IF(E41="","",ソート!L55&amp;" "&amp;WIDECHAR(ソート!I55)&amp;"－"&amp;WIDECHAR(ソート!M55))</f>
        <v>● ０－５</v>
      </c>
      <c r="F40" s="86" t="str">
        <f>IF(F41="","",ソート!S55&amp;" "&amp;WIDECHAR(ソート!P55)&amp;"－"&amp;WIDECHAR(ソート!T55))</f>
        <v>● ０－１１</v>
      </c>
      <c r="G40" s="86" t="str">
        <f>IF(G41="","",ソート!Z55&amp;" "&amp;WIDECHAR(ソート!W55)&amp;"－"&amp;WIDECHAR(ソート!AA55))</f>
        <v>● ０－５</v>
      </c>
      <c r="H40" s="86" t="str">
        <f>IF(H41="","",ソート!AG55&amp;" "&amp;WIDECHAR(ソート!AD55)&amp;"－"&amp;WIDECHAR(ソート!AH55))</f>
        <v>● １－２</v>
      </c>
      <c r="I40" s="61"/>
      <c r="J40" s="64"/>
    </row>
    <row r="41" spans="1:11" ht="14.25" customHeight="1">
      <c r="A41" s="44"/>
      <c r="B41" s="588"/>
      <c r="C41" s="592"/>
      <c r="D41" s="87" t="str">
        <f>IF(ソート!B59="","",ソート!B59)</f>
        <v>高岡中Ｇ</v>
      </c>
      <c r="E41" s="87" t="str">
        <f>IF(ソート!I59="","",ソート!I59)</f>
        <v>松任中Ｇ</v>
      </c>
      <c r="F41" s="87" t="str">
        <f>IF(ソート!P59="","",ソート!P59)</f>
        <v>松任公園Ｇ</v>
      </c>
      <c r="G41" s="87" t="str">
        <f>IF(ソート!W59="","",ソート!W59)</f>
        <v>安原</v>
      </c>
      <c r="H41" s="87" t="str">
        <f>IF(ソート!AD59="","",ソート!AD59)</f>
        <v>松任中Ｇ</v>
      </c>
      <c r="I41" s="61"/>
      <c r="J41" s="63"/>
      <c r="K41" s="49"/>
    </row>
    <row r="42" spans="1:11" ht="14.25" customHeight="1">
      <c r="A42" s="44"/>
      <c r="B42" s="588"/>
      <c r="C42" s="592"/>
      <c r="D42" s="85" t="str">
        <f>IF(D44="","",ソート!C63&amp;" "&amp;MONTH(ソート!E63)&amp;"/"&amp;DAY(ソート!E63))</f>
        <v>⑨ 8/9</v>
      </c>
      <c r="E42" s="85" t="str">
        <f>IF(E44="","",ソート!J63&amp;" "&amp;MONTH(ソート!L63)&amp;"/"&amp;DAY(ソート!L63))</f>
        <v>⑧ 7/27</v>
      </c>
      <c r="F42" s="85" t="str">
        <f>IF(F44="","",ソート!Q63&amp;" "&amp;MONTH(ソート!S63)&amp;"/"&amp;DAY(ソート!S63))</f>
        <v>⑬ 10/18</v>
      </c>
      <c r="G42" s="85" t="str">
        <f>IF(G44="","",ソート!X63&amp;" "&amp;MONTH(ソート!Z63)&amp;"/"&amp;DAY(ソート!Z63))</f>
        <v>⑩ 9/6</v>
      </c>
      <c r="H42" s="85" t="str">
        <f>IF(H44="","",ソート!AE63&amp;" "&amp;MONTH(ソート!AG63)&amp;"/"&amp;DAY(ソート!AG63))</f>
        <v>⑬ 10/26</v>
      </c>
      <c r="I42" s="61"/>
      <c r="J42" s="63"/>
      <c r="K42" s="49"/>
    </row>
    <row r="43" spans="1:11" ht="14.25" customHeight="1">
      <c r="A43" s="44"/>
      <c r="B43" s="588"/>
      <c r="C43" s="592"/>
      <c r="D43" s="86" t="str">
        <f>IF(D44="","",ソート!E60&amp;" "&amp;WIDECHAR(ソート!B60)&amp;"－"&amp;WIDECHAR(ソート!F60))</f>
        <v>● ０－３</v>
      </c>
      <c r="E43" s="86" t="str">
        <f>IF(E44="","",ソート!L60&amp;" "&amp;WIDECHAR(ソート!I60)&amp;"－"&amp;WIDECHAR(ソート!M60))</f>
        <v>● ０－３</v>
      </c>
      <c r="F43" s="86" t="str">
        <f>IF(F44="","",ソート!S60&amp;" "&amp;WIDECHAR(ソート!P60)&amp;"－"&amp;WIDECHAR(ソート!T60))</f>
        <v> －</v>
      </c>
      <c r="G43" s="86" t="str">
        <f>IF(G44="","",ソート!Z60&amp;" "&amp;WIDECHAR(ソート!W60)&amp;"－"&amp;WIDECHAR(ソート!AA60))</f>
        <v>● ０－３</v>
      </c>
      <c r="H43" s="86" t="str">
        <f>IF(H44="","",ソート!AG60&amp;" "&amp;WIDECHAR(ソート!AD60)&amp;"－"&amp;WIDECHAR(ソート!AH60))</f>
        <v> －</v>
      </c>
      <c r="I43" s="61"/>
      <c r="J43" s="63"/>
      <c r="K43" s="49"/>
    </row>
    <row r="44" spans="1:11" ht="14.25" customHeight="1" thickBot="1">
      <c r="A44" s="44"/>
      <c r="B44" s="589"/>
      <c r="C44" s="593"/>
      <c r="D44" s="87" t="str">
        <f>IF(ソート!B64="","",ソート!B64)</f>
        <v>松任中Ｇ</v>
      </c>
      <c r="E44" s="87" t="str">
        <f>IF(ソート!I64="","",ソート!I64)</f>
        <v>松任中Ｇ</v>
      </c>
      <c r="F44" s="87" t="str">
        <f>IF(ソート!P64="","",ソート!P64)</f>
        <v>松任中Ｇ</v>
      </c>
      <c r="G44" s="87" t="str">
        <f>IF(ソート!W64="","",ソート!W64)</f>
        <v>北星中Ｇ</v>
      </c>
      <c r="H44" s="87" t="str">
        <f>IF(ソート!AD64="","",ソート!AD64)</f>
        <v>松任公園Ｇ</v>
      </c>
      <c r="I44" s="61"/>
      <c r="J44" s="63"/>
      <c r="K44" s="49"/>
    </row>
    <row r="45" spans="1:10" ht="13.5">
      <c r="A45" s="44"/>
      <c r="B45" s="65"/>
      <c r="C45" s="65"/>
      <c r="D45" s="65"/>
      <c r="E45" s="65"/>
      <c r="F45" s="65"/>
      <c r="G45" s="65"/>
      <c r="H45" s="65"/>
      <c r="I45" s="65"/>
      <c r="J45" s="46"/>
    </row>
    <row r="46" spans="1:11" ht="14.25" thickBot="1">
      <c r="A46" s="44"/>
      <c r="B46" s="45"/>
      <c r="C46" s="90" t="s">
        <v>12</v>
      </c>
      <c r="D46" s="45"/>
      <c r="E46" s="45"/>
      <c r="F46" s="45"/>
      <c r="G46" s="45"/>
      <c r="H46" s="45"/>
      <c r="I46" s="45"/>
      <c r="J46" s="48"/>
      <c r="K46" s="49"/>
    </row>
    <row r="47" spans="1:10" ht="16.5" customHeight="1">
      <c r="A47" s="44"/>
      <c r="B47" s="45"/>
      <c r="C47" s="140" t="s">
        <v>40</v>
      </c>
      <c r="D47" s="165"/>
      <c r="E47" s="165"/>
      <c r="F47" s="165"/>
      <c r="G47" s="165"/>
      <c r="H47" s="165"/>
      <c r="I47" s="166"/>
      <c r="J47" s="149"/>
    </row>
    <row r="48" spans="1:10" ht="16.5" customHeight="1">
      <c r="A48" s="44"/>
      <c r="B48" s="45"/>
      <c r="C48" s="142"/>
      <c r="D48" s="167"/>
      <c r="E48" s="167"/>
      <c r="F48" s="167"/>
      <c r="G48" s="167"/>
      <c r="H48" s="167"/>
      <c r="I48" s="168"/>
      <c r="J48" s="149"/>
    </row>
    <row r="49" spans="1:10" ht="16.5" customHeight="1">
      <c r="A49" s="44"/>
      <c r="B49" s="45"/>
      <c r="C49" s="142"/>
      <c r="D49" s="167"/>
      <c r="E49" s="167"/>
      <c r="F49" s="167"/>
      <c r="G49" s="167"/>
      <c r="H49" s="167"/>
      <c r="I49" s="168"/>
      <c r="J49" s="149"/>
    </row>
    <row r="50" spans="1:10" ht="16.5" customHeight="1" thickBot="1">
      <c r="A50" s="44"/>
      <c r="B50" s="45"/>
      <c r="C50" s="141"/>
      <c r="D50" s="169"/>
      <c r="E50" s="169"/>
      <c r="F50" s="169"/>
      <c r="G50" s="169"/>
      <c r="H50" s="169"/>
      <c r="I50" s="170"/>
      <c r="J50" s="149"/>
    </row>
    <row r="51" spans="1:11" ht="15.75" customHeight="1">
      <c r="A51" s="57"/>
      <c r="B51" s="58"/>
      <c r="C51" s="58"/>
      <c r="D51" s="58"/>
      <c r="E51" s="58"/>
      <c r="F51" s="58"/>
      <c r="G51" s="58"/>
      <c r="H51" s="58"/>
      <c r="I51" s="58"/>
      <c r="J51" s="59"/>
      <c r="K51" s="49"/>
    </row>
  </sheetData>
  <sheetProtection formatCells="0"/>
  <protectedRanges>
    <protectedRange password="C4D3" sqref="D9:D14 E15:E20 F21:F26 G27:G32 H33:H38 I39:I44" name="関数データ保護"/>
    <protectedRange password="C4D3" sqref="I37 D40:H40 H31:I31 G25:I25 F19:I19 I34 E13:I13 D28:F28 G22:I22 E10:I10 F16:I16 H28:I28 D37:G37 D34:G34 D43:H43 D19 D16 D25:E25 D22:E22 D31:F31" name="関数データ保護_3_1"/>
    <protectedRange password="C4D3" sqref="E12:I12 D42:H42 F18:I18 I33 H30:I30 D27:F27 D39:H39 H27:I27 G24:I24 E9:I9 F15:I15 G21:I21 D36:G36 D33:G33 I36 D18 D15 D24:E24 D21:E21 D30:F30" name="関数データ保護_3_2"/>
  </protectedRanges>
  <mergeCells count="15">
    <mergeCell ref="B39:B44"/>
    <mergeCell ref="B33:B38"/>
    <mergeCell ref="B21:B26"/>
    <mergeCell ref="B27:B32"/>
    <mergeCell ref="C21:C26"/>
    <mergeCell ref="C27:C32"/>
    <mergeCell ref="C33:C38"/>
    <mergeCell ref="C39:C44"/>
    <mergeCell ref="D6:I6"/>
    <mergeCell ref="B15:B20"/>
    <mergeCell ref="K3:K4"/>
    <mergeCell ref="C15:C20"/>
    <mergeCell ref="C9:C14"/>
    <mergeCell ref="B9:B14"/>
    <mergeCell ref="B8:C8"/>
  </mergeCells>
  <printOptions horizontalCentered="1"/>
  <pageMargins left="0.3937007874015748" right="0" top="0" bottom="0" header="0.5118110236220472" footer="0.5118110236220472"/>
  <pageSetup horizontalDpi="300" verticalDpi="300" orientation="portrait" paperSize="9" scale="105" r:id="rId2"/>
  <headerFooter alignWithMargins="0">
    <oddHeader>&amp;R&amp;14報告②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125" style="0" customWidth="1"/>
    <col min="3" max="3" width="16.125" style="0" customWidth="1"/>
    <col min="4" max="4" width="6.75390625" style="0" customWidth="1"/>
    <col min="5" max="5" width="13.375" style="0" customWidth="1"/>
    <col min="6" max="7" width="6.25390625" style="0" customWidth="1"/>
    <col min="8" max="8" width="25.50390625" style="0" customWidth="1"/>
    <col min="10" max="10" width="6.25390625" style="0" customWidth="1"/>
    <col min="11" max="11" width="15.125" style="0" customWidth="1"/>
  </cols>
  <sheetData>
    <row r="1" ht="13.5">
      <c r="D1" s="179"/>
    </row>
    <row r="2" spans="2:8" ht="21" customHeight="1">
      <c r="B2" s="331" t="s">
        <v>168</v>
      </c>
      <c r="C2" s="171"/>
      <c r="D2" s="171"/>
      <c r="E2" s="179" t="s">
        <v>187</v>
      </c>
      <c r="F2" s="171"/>
      <c r="G2" s="171"/>
      <c r="H2" s="171"/>
    </row>
    <row r="3" spans="1:11" ht="13.5">
      <c r="A3" s="172"/>
      <c r="B3" s="173" t="s">
        <v>33</v>
      </c>
      <c r="C3" s="173" t="s">
        <v>61</v>
      </c>
      <c r="D3" s="173" t="s">
        <v>62</v>
      </c>
      <c r="E3" s="173" t="s">
        <v>65</v>
      </c>
      <c r="F3" s="177" t="s">
        <v>63</v>
      </c>
      <c r="G3" s="173" t="s">
        <v>64</v>
      </c>
      <c r="H3" s="174" t="s">
        <v>66</v>
      </c>
      <c r="J3" s="338"/>
      <c r="K3" s="336"/>
    </row>
    <row r="4" spans="1:11" ht="17.25" customHeight="1">
      <c r="A4" s="207"/>
      <c r="B4" s="332">
        <v>41818</v>
      </c>
      <c r="C4" s="373" t="s">
        <v>208</v>
      </c>
      <c r="D4" s="333">
        <v>14</v>
      </c>
      <c r="E4" s="339" t="s">
        <v>210</v>
      </c>
      <c r="F4" s="333">
        <v>1</v>
      </c>
      <c r="G4" s="333"/>
      <c r="H4" s="374" t="s">
        <v>209</v>
      </c>
      <c r="J4" s="337">
        <f>'編成'!B16</f>
        <v>41783</v>
      </c>
      <c r="K4" s="336" t="str">
        <f>IF('編成'!AK4="","",'編成'!AK4)</f>
        <v>松任中学校</v>
      </c>
    </row>
    <row r="5" spans="1:11" ht="17.25" customHeight="1">
      <c r="A5" s="207"/>
      <c r="B5" s="304"/>
      <c r="C5" s="376"/>
      <c r="D5" s="334"/>
      <c r="E5" s="340"/>
      <c r="F5" s="334"/>
      <c r="G5" s="334"/>
      <c r="H5" s="375"/>
      <c r="J5" s="337">
        <f>'編成'!B17</f>
        <v>41784</v>
      </c>
      <c r="K5" s="336" t="str">
        <f>IF('編成'!AK5="","",'編成'!AK5)</f>
        <v>ＦＣ小松</v>
      </c>
    </row>
    <row r="6" spans="1:11" ht="17.25" customHeight="1">
      <c r="A6" s="207"/>
      <c r="B6" s="304"/>
      <c r="C6" s="376"/>
      <c r="D6" s="334"/>
      <c r="E6" s="340"/>
      <c r="F6" s="334"/>
      <c r="G6" s="334"/>
      <c r="H6" s="375"/>
      <c r="J6" s="337">
        <f>'編成'!B18</f>
        <v>41790</v>
      </c>
      <c r="K6" s="336" t="str">
        <f>IF('編成'!AK6="","",'編成'!AK6)</f>
        <v>河北台ＳＣ</v>
      </c>
    </row>
    <row r="7" spans="1:11" ht="17.25" customHeight="1">
      <c r="A7" s="207"/>
      <c r="B7" s="304"/>
      <c r="C7" s="376"/>
      <c r="D7" s="334"/>
      <c r="E7" s="340"/>
      <c r="F7" s="334"/>
      <c r="G7" s="334"/>
      <c r="H7" s="375"/>
      <c r="J7" s="337">
        <f>'編成'!B19</f>
        <v>41791</v>
      </c>
      <c r="K7" s="336" t="str">
        <f>IF('編成'!AK7="","",'編成'!AK7)</f>
        <v>FC.SOUTHERN</v>
      </c>
    </row>
    <row r="8" spans="1:11" ht="17.25" customHeight="1">
      <c r="A8" s="207"/>
      <c r="B8" s="304"/>
      <c r="C8" s="376"/>
      <c r="D8" s="334"/>
      <c r="E8" s="340"/>
      <c r="F8" s="334"/>
      <c r="G8" s="334"/>
      <c r="H8" s="375"/>
      <c r="J8" s="337">
        <f>'編成'!B20</f>
        <v>41797</v>
      </c>
      <c r="K8" s="336" t="str">
        <f>IF('編成'!AK8="","",'編成'!AK8)</f>
        <v>根上中学校</v>
      </c>
    </row>
    <row r="9" spans="1:11" ht="17.25" customHeight="1">
      <c r="A9" s="207"/>
      <c r="B9" s="304"/>
      <c r="C9" s="376"/>
      <c r="D9" s="334"/>
      <c r="E9" s="340"/>
      <c r="F9" s="334"/>
      <c r="G9" s="334"/>
      <c r="H9" s="375"/>
      <c r="J9" s="337">
        <f>'編成'!B21</f>
        <v>41798</v>
      </c>
      <c r="K9" s="336" t="str">
        <f>IF('編成'!AK9="","",'編成'!AK9)</f>
        <v>ＦＣ．ＴＯＮ</v>
      </c>
    </row>
    <row r="10" spans="1:11" ht="17.25" customHeight="1">
      <c r="A10" s="207"/>
      <c r="B10" s="304"/>
      <c r="C10" s="376"/>
      <c r="D10" s="334"/>
      <c r="E10" s="340"/>
      <c r="F10" s="334"/>
      <c r="G10" s="334"/>
      <c r="H10" s="375"/>
      <c r="J10" s="337">
        <f>'編成'!B22</f>
        <v>41804</v>
      </c>
      <c r="K10" s="336"/>
    </row>
    <row r="11" spans="1:11" ht="17.25" customHeight="1">
      <c r="A11" s="207"/>
      <c r="B11" s="304"/>
      <c r="C11" s="376"/>
      <c r="D11" s="334"/>
      <c r="E11" s="340"/>
      <c r="F11" s="334"/>
      <c r="G11" s="334"/>
      <c r="H11" s="375"/>
      <c r="J11" s="337">
        <f>'編成'!B23</f>
        <v>41805</v>
      </c>
      <c r="K11" s="336"/>
    </row>
    <row r="12" spans="1:10" ht="17.25" customHeight="1">
      <c r="A12" s="207"/>
      <c r="B12" s="304"/>
      <c r="C12" s="376"/>
      <c r="D12" s="334"/>
      <c r="E12" s="340"/>
      <c r="F12" s="334"/>
      <c r="G12" s="334"/>
      <c r="H12" s="375"/>
      <c r="J12" s="337">
        <f>'編成'!B24</f>
        <v>41818</v>
      </c>
    </row>
    <row r="13" spans="1:10" ht="17.25" customHeight="1">
      <c r="A13" s="207"/>
      <c r="B13" s="304"/>
      <c r="C13" s="376"/>
      <c r="D13" s="334"/>
      <c r="E13" s="340"/>
      <c r="F13" s="334"/>
      <c r="G13" s="334"/>
      <c r="H13" s="375"/>
      <c r="J13" s="337">
        <f>'編成'!B25</f>
        <v>41819</v>
      </c>
    </row>
    <row r="14" spans="1:10" ht="17.25" customHeight="1">
      <c r="A14" s="207"/>
      <c r="B14" s="304"/>
      <c r="C14" s="376"/>
      <c r="D14" s="334"/>
      <c r="E14" s="340"/>
      <c r="F14" s="334"/>
      <c r="G14" s="334"/>
      <c r="H14" s="375"/>
      <c r="J14" s="337">
        <f>'編成'!B26</f>
        <v>41825</v>
      </c>
    </row>
    <row r="15" spans="1:10" ht="17.25" customHeight="1">
      <c r="A15" s="207"/>
      <c r="B15" s="304"/>
      <c r="C15" s="376"/>
      <c r="D15" s="334"/>
      <c r="E15" s="340"/>
      <c r="F15" s="334"/>
      <c r="G15" s="334"/>
      <c r="H15" s="375"/>
      <c r="J15" s="337">
        <f>'編成'!B27</f>
        <v>41826</v>
      </c>
    </row>
    <row r="16" spans="1:10" ht="17.25" customHeight="1">
      <c r="A16" s="207"/>
      <c r="B16" s="304"/>
      <c r="C16" s="376"/>
      <c r="D16" s="334"/>
      <c r="E16" s="340"/>
      <c r="F16" s="334"/>
      <c r="G16" s="334"/>
      <c r="H16" s="375"/>
      <c r="J16" s="337">
        <f>'編成'!B28</f>
        <v>41832</v>
      </c>
    </row>
    <row r="17" spans="1:10" ht="17.25" customHeight="1">
      <c r="A17" s="207"/>
      <c r="B17" s="304"/>
      <c r="C17" s="376"/>
      <c r="D17" s="334"/>
      <c r="E17" s="340"/>
      <c r="F17" s="334"/>
      <c r="G17" s="334"/>
      <c r="H17" s="375"/>
      <c r="J17" s="337">
        <f>'編成'!B29</f>
        <v>41833</v>
      </c>
    </row>
    <row r="18" spans="1:10" ht="17.25" customHeight="1">
      <c r="A18" s="207"/>
      <c r="B18" s="304"/>
      <c r="C18" s="376"/>
      <c r="D18" s="334"/>
      <c r="E18" s="340"/>
      <c r="F18" s="334"/>
      <c r="G18" s="334"/>
      <c r="H18" s="375"/>
      <c r="J18" s="337">
        <f>'編成'!B30</f>
        <v>41839</v>
      </c>
    </row>
    <row r="19" spans="1:10" ht="17.25" customHeight="1">
      <c r="A19" s="207"/>
      <c r="B19" s="304"/>
      <c r="C19" s="376"/>
      <c r="D19" s="334"/>
      <c r="E19" s="340"/>
      <c r="F19" s="334"/>
      <c r="G19" s="334"/>
      <c r="H19" s="375"/>
      <c r="J19" s="337">
        <f>'編成'!B31</f>
        <v>41840</v>
      </c>
    </row>
    <row r="20" spans="1:10" ht="17.25" customHeight="1">
      <c r="A20" s="207"/>
      <c r="B20" s="304"/>
      <c r="C20" s="376"/>
      <c r="D20" s="334"/>
      <c r="E20" s="340"/>
      <c r="F20" s="334"/>
      <c r="G20" s="334"/>
      <c r="H20" s="375"/>
      <c r="J20" s="337">
        <f>'編成'!B32</f>
        <v>41841</v>
      </c>
    </row>
    <row r="21" spans="1:10" ht="17.25" customHeight="1">
      <c r="A21" s="207"/>
      <c r="B21" s="304"/>
      <c r="C21" s="376"/>
      <c r="D21" s="334"/>
      <c r="E21" s="340"/>
      <c r="F21" s="334"/>
      <c r="G21" s="334"/>
      <c r="H21" s="375"/>
      <c r="J21" s="337">
        <f>'編成'!B33</f>
        <v>41846</v>
      </c>
    </row>
    <row r="22" spans="1:10" ht="17.25" customHeight="1">
      <c r="A22" s="207"/>
      <c r="B22" s="304"/>
      <c r="C22" s="376"/>
      <c r="D22" s="334"/>
      <c r="E22" s="340"/>
      <c r="F22" s="334"/>
      <c r="G22" s="334"/>
      <c r="H22" s="375"/>
      <c r="J22" s="337">
        <f>'編成'!B34</f>
        <v>41847</v>
      </c>
    </row>
    <row r="23" spans="1:10" ht="17.25" customHeight="1">
      <c r="A23" s="207"/>
      <c r="B23" s="304"/>
      <c r="C23" s="376"/>
      <c r="D23" s="334"/>
      <c r="E23" s="340"/>
      <c r="F23" s="334"/>
      <c r="G23" s="334"/>
      <c r="H23" s="375"/>
      <c r="J23" s="337">
        <f>'編成'!B35</f>
        <v>41853</v>
      </c>
    </row>
    <row r="24" spans="1:10" ht="17.25" customHeight="1">
      <c r="A24" s="207"/>
      <c r="B24" s="304"/>
      <c r="C24" s="376"/>
      <c r="D24" s="334"/>
      <c r="E24" s="340"/>
      <c r="F24" s="334"/>
      <c r="G24" s="334"/>
      <c r="H24" s="375"/>
      <c r="J24" s="337">
        <f>'編成'!B36</f>
        <v>41854</v>
      </c>
    </row>
    <row r="25" spans="1:10" ht="17.25" customHeight="1">
      <c r="A25" s="207"/>
      <c r="B25" s="304"/>
      <c r="C25" s="376"/>
      <c r="D25" s="334"/>
      <c r="E25" s="340"/>
      <c r="F25" s="334"/>
      <c r="G25" s="334"/>
      <c r="H25" s="375"/>
      <c r="J25" s="337">
        <f>'編成'!B37</f>
        <v>41860</v>
      </c>
    </row>
    <row r="26" spans="1:10" ht="17.25" customHeight="1">
      <c r="A26" s="207"/>
      <c r="B26" s="304"/>
      <c r="C26" s="376"/>
      <c r="D26" s="334"/>
      <c r="E26" s="340"/>
      <c r="F26" s="334"/>
      <c r="G26" s="334"/>
      <c r="H26" s="375"/>
      <c r="J26" s="337">
        <f>'編成'!B38</f>
        <v>41881</v>
      </c>
    </row>
    <row r="27" spans="1:10" ht="17.25" customHeight="1">
      <c r="A27" s="207"/>
      <c r="B27" s="304"/>
      <c r="C27" s="376"/>
      <c r="D27" s="334"/>
      <c r="E27" s="340"/>
      <c r="F27" s="334"/>
      <c r="G27" s="334"/>
      <c r="H27" s="375"/>
      <c r="J27" s="337">
        <f>'編成'!B39</f>
        <v>41882</v>
      </c>
    </row>
    <row r="28" spans="1:10" ht="17.25" customHeight="1">
      <c r="A28" s="207"/>
      <c r="B28" s="304"/>
      <c r="C28" s="376"/>
      <c r="D28" s="334"/>
      <c r="E28" s="340"/>
      <c r="F28" s="334"/>
      <c r="G28" s="334"/>
      <c r="H28" s="375"/>
      <c r="J28" s="337">
        <f>'編成'!B40</f>
        <v>41888</v>
      </c>
    </row>
    <row r="29" spans="1:10" ht="17.25" customHeight="1">
      <c r="A29" s="207"/>
      <c r="B29" s="304"/>
      <c r="C29" s="376"/>
      <c r="D29" s="334"/>
      <c r="E29" s="340"/>
      <c r="F29" s="334"/>
      <c r="G29" s="334"/>
      <c r="H29" s="375"/>
      <c r="J29" s="337">
        <f>'編成'!B41</f>
        <v>41889</v>
      </c>
    </row>
    <row r="30" spans="1:10" ht="17.25" customHeight="1">
      <c r="A30" s="207"/>
      <c r="B30" s="304"/>
      <c r="C30" s="376"/>
      <c r="D30" s="334"/>
      <c r="E30" s="340"/>
      <c r="F30" s="334"/>
      <c r="G30" s="334"/>
      <c r="H30" s="375"/>
      <c r="J30" s="337">
        <f>'編成'!B42</f>
        <v>41895</v>
      </c>
    </row>
    <row r="31" spans="1:10" ht="17.25" customHeight="1">
      <c r="A31" s="207"/>
      <c r="B31" s="304"/>
      <c r="C31" s="376"/>
      <c r="D31" s="334"/>
      <c r="E31" s="340"/>
      <c r="F31" s="334"/>
      <c r="G31" s="334"/>
      <c r="H31" s="375"/>
      <c r="J31" s="337">
        <f>'編成'!B43</f>
        <v>41896</v>
      </c>
    </row>
    <row r="32" spans="2:10" ht="17.25" customHeight="1">
      <c r="B32" s="304"/>
      <c r="C32" s="376"/>
      <c r="D32" s="334"/>
      <c r="E32" s="340"/>
      <c r="F32" s="334"/>
      <c r="G32" s="334"/>
      <c r="H32" s="375"/>
      <c r="J32" s="337">
        <f>'編成'!B44</f>
        <v>41897</v>
      </c>
    </row>
    <row r="33" spans="2:10" ht="17.25" customHeight="1">
      <c r="B33" s="304"/>
      <c r="C33" s="376"/>
      <c r="D33" s="334"/>
      <c r="E33" s="340"/>
      <c r="F33" s="334"/>
      <c r="G33" s="334"/>
      <c r="H33" s="375"/>
      <c r="J33" s="337">
        <f>'編成'!B45</f>
        <v>41902</v>
      </c>
    </row>
    <row r="34" spans="2:10" ht="17.25" customHeight="1">
      <c r="B34" s="304"/>
      <c r="C34" s="376"/>
      <c r="D34" s="334"/>
      <c r="E34" s="340"/>
      <c r="F34" s="334"/>
      <c r="G34" s="334"/>
      <c r="H34" s="375"/>
      <c r="J34" s="337">
        <f>'編成'!B46</f>
        <v>41903</v>
      </c>
    </row>
    <row r="35" spans="2:10" ht="17.25" customHeight="1">
      <c r="B35" s="304"/>
      <c r="C35" s="376"/>
      <c r="D35" s="334"/>
      <c r="E35" s="340"/>
      <c r="F35" s="334"/>
      <c r="G35" s="334"/>
      <c r="H35" s="375"/>
      <c r="J35" s="337">
        <f>'編成'!B47</f>
        <v>41540</v>
      </c>
    </row>
    <row r="36" spans="2:10" ht="17.25" customHeight="1">
      <c r="B36" s="304"/>
      <c r="C36" s="376"/>
      <c r="D36" s="334"/>
      <c r="E36" s="340"/>
      <c r="F36" s="334"/>
      <c r="G36" s="334"/>
      <c r="H36" s="375"/>
      <c r="J36" s="337">
        <f>'編成'!B48</f>
        <v>41909</v>
      </c>
    </row>
    <row r="37" spans="2:10" ht="17.25" customHeight="1">
      <c r="B37" s="304"/>
      <c r="C37" s="376"/>
      <c r="D37" s="334"/>
      <c r="E37" s="340"/>
      <c r="F37" s="334"/>
      <c r="G37" s="334"/>
      <c r="H37" s="375"/>
      <c r="J37" s="337">
        <f>'編成'!B49</f>
        <v>41910</v>
      </c>
    </row>
    <row r="38" spans="2:10" ht="17.25" customHeight="1">
      <c r="B38" s="305"/>
      <c r="C38" s="377"/>
      <c r="D38" s="335"/>
      <c r="E38" s="378"/>
      <c r="F38" s="335"/>
      <c r="G38" s="335"/>
      <c r="H38" s="379"/>
      <c r="J38" s="337">
        <f>'編成'!B50</f>
        <v>41916</v>
      </c>
    </row>
    <row r="39" ht="13.5">
      <c r="J39" s="337">
        <f>'編成'!B51</f>
        <v>41917</v>
      </c>
    </row>
    <row r="40" ht="13.5">
      <c r="J40" s="337">
        <f>'編成'!B52</f>
        <v>41930</v>
      </c>
    </row>
    <row r="41" ht="13.5">
      <c r="J41" s="337">
        <f>'編成'!B53</f>
        <v>41931</v>
      </c>
    </row>
    <row r="42" ht="13.5">
      <c r="J42" s="337">
        <f>'編成'!B54</f>
        <v>41937</v>
      </c>
    </row>
    <row r="43" ht="13.5">
      <c r="J43" s="337">
        <f>'編成'!B55</f>
        <v>41938</v>
      </c>
    </row>
    <row r="44" ht="13.5">
      <c r="J44" s="337">
        <f>'編成'!B56</f>
        <v>41862</v>
      </c>
    </row>
    <row r="45" ht="13.5">
      <c r="J45" s="337">
        <f>'編成'!B57</f>
        <v>0</v>
      </c>
    </row>
    <row r="46" ht="13.5">
      <c r="J46" s="337">
        <f>'編成'!B58</f>
        <v>0</v>
      </c>
    </row>
    <row r="47" ht="13.5">
      <c r="J47" s="337">
        <f>'編成'!B59</f>
        <v>0</v>
      </c>
    </row>
    <row r="48" ht="13.5">
      <c r="J48" s="337">
        <f>'編成'!B60</f>
        <v>0</v>
      </c>
    </row>
    <row r="49" ht="13.5">
      <c r="J49" s="337">
        <f>'編成'!B61</f>
        <v>0</v>
      </c>
    </row>
    <row r="50" ht="13.5">
      <c r="J50" s="337">
        <f>'編成'!B62</f>
        <v>0</v>
      </c>
    </row>
  </sheetData>
  <sheetProtection/>
  <dataValidations count="2">
    <dataValidation type="list" allowBlank="1" showInputMessage="1" showErrorMessage="1" sqref="B4:B38">
      <formula1>$J$3:$J$50</formula1>
    </dataValidation>
    <dataValidation type="list" allowBlank="1" showInputMessage="1" showErrorMessage="1" sqref="C4:C38">
      <formula1>$K$3:$K$9</formula1>
    </dataValidation>
  </dataValidations>
  <printOptions horizontalCentered="1"/>
  <pageMargins left="0.3937007874015748" right="0" top="0" bottom="0" header="0.5118110236220472" footer="0.5118110236220472"/>
  <pageSetup horizontalDpi="600" verticalDpi="6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中宮　章</dc:creator>
  <cp:keywords/>
  <dc:description/>
  <cp:lastModifiedBy>Owner</cp:lastModifiedBy>
  <cp:lastPrinted>2014-09-18T08:51:34Z</cp:lastPrinted>
  <dcterms:created xsi:type="dcterms:W3CDTF">2007-10-23T02:48:55Z</dcterms:created>
  <dcterms:modified xsi:type="dcterms:W3CDTF">2014-09-18T08:51:47Z</dcterms:modified>
  <cp:category/>
  <cp:version/>
  <cp:contentType/>
  <cp:contentStatus/>
</cp:coreProperties>
</file>